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lagstar-my.sharepoint.com/personal/rohail_abid_flagstar_com/Documents/Documents/Projects/"/>
    </mc:Choice>
  </mc:AlternateContent>
  <xr:revisionPtr revIDLastSave="0" documentId="8_{58A5D39A-A7F8-4E31-9C11-83C9CD2A879A}" xr6:coauthVersionLast="47" xr6:coauthVersionMax="47" xr10:uidLastSave="{00000000-0000-0000-0000-000000000000}"/>
  <bookViews>
    <workbookView xWindow="-28920" yWindow="-45" windowWidth="29040" windowHeight="15720" tabRatio="738" xr2:uid="{50CB958C-25D0-4729-BE43-854F142630F7}"/>
  </bookViews>
  <sheets>
    <sheet name="Exposure" sheetId="2" r:id="rId1"/>
    <sheet name="Bank Group" sheetId="3" r:id="rId2"/>
    <sheet name="Covenant Tracking" sheetId="36" r:id="rId3"/>
    <sheet name="Unit Line Detail" sheetId="34" r:id="rId4"/>
    <sheet name="Borrowing Base" sheetId="31" r:id="rId5"/>
    <sheet name="Deposits" sheetId="4" r:id="rId6"/>
    <sheet name="RLOC" sheetId="27" r:id="rId7"/>
    <sheet name="Heat Map" sheetId="5" r:id="rId8"/>
    <sheet name="Revenue-Closings" sheetId="6" r:id="rId9"/>
    <sheet name="Sales-Closings" sheetId="7" r:id="rId10"/>
    <sheet name="Collateral Value" sheetId="32" r:id="rId11"/>
    <sheet name="Balance Sheet" sheetId="9" r:id="rId12"/>
    <sheet name="Inventory-Units" sheetId="10" r:id="rId13"/>
    <sheet name="Inventory-Lots" sheetId="11" r:id="rId14"/>
    <sheet name="Debt Listing" sheetId="12" r:id="rId15"/>
    <sheet name="Equity" sheetId="14" r:id="rId16"/>
    <sheet name="Income Statement" sheetId="15" r:id="rId17"/>
    <sheet name="Net Income" sheetId="16" r:id="rId18"/>
    <sheet name="Absorption Sensitivity" sheetId="17" r:id="rId19"/>
    <sheet name="Sensitivity Analysis" sheetId="18" r:id="rId20"/>
    <sheet name="A&amp;D Sources &amp; Uses" sheetId="19" r:id="rId21"/>
    <sheet name="Curtailment" sheetId="33" r:id="rId22"/>
    <sheet name="Active Subdivision" sheetId="8" r:id="rId23"/>
    <sheet name="Vertical Construction" sheetId="22" r:id="rId24"/>
    <sheet name="Contract Analysis" sheetId="21" r:id="rId25"/>
    <sheet name="Market Snapshot" sheetId="23" r:id="rId26"/>
    <sheet name="Guarantor Aggregation" sheetId="24" r:id="rId27"/>
    <sheet name="Project Inventory" sheetId="25" r:id="rId28"/>
    <sheet name="Dev Budget" sheetId="26" r:id="rId29"/>
    <sheet name="Project Equity" sheetId="13" r:id="rId30"/>
    <sheet name="Template Modifications" sheetId="29" r:id="rId31"/>
  </sheets>
  <definedNames>
    <definedName name="_xlnm.Print_Area" localSheetId="16">'Income Statement'!$B$1:$N$100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34" l="1"/>
  <c r="C8" i="18"/>
  <c r="E14" i="31"/>
  <c r="E13" i="31"/>
  <c r="E11" i="31"/>
  <c r="E26" i="31" l="1"/>
  <c r="B39" i="31"/>
  <c r="B38" i="31"/>
  <c r="B37" i="31"/>
  <c r="J4" i="32"/>
  <c r="L8" i="34"/>
  <c r="L9" i="34"/>
  <c r="L10" i="34"/>
  <c r="L11" i="34"/>
  <c r="L12" i="34"/>
  <c r="L13" i="34"/>
  <c r="L14" i="34"/>
  <c r="L15" i="34"/>
  <c r="L16" i="34"/>
  <c r="L17" i="34"/>
  <c r="L18" i="34"/>
  <c r="L19" i="34"/>
  <c r="L20" i="34"/>
  <c r="L21" i="34"/>
  <c r="L22" i="34"/>
  <c r="L23" i="34"/>
  <c r="L24" i="34"/>
  <c r="L25" i="34"/>
  <c r="L26" i="34"/>
  <c r="L27" i="34"/>
  <c r="L28" i="34"/>
  <c r="L29" i="34"/>
  <c r="L30" i="34"/>
  <c r="L31" i="34"/>
  <c r="J8" i="34"/>
  <c r="J9" i="34"/>
  <c r="J10" i="34"/>
  <c r="J11" i="34"/>
  <c r="J12" i="34"/>
  <c r="J13" i="34"/>
  <c r="J14" i="34"/>
  <c r="J15" i="34"/>
  <c r="J16" i="34"/>
  <c r="J17" i="34"/>
  <c r="J18" i="34"/>
  <c r="J19" i="34"/>
  <c r="J20" i="34"/>
  <c r="J21" i="34"/>
  <c r="J22" i="34"/>
  <c r="J23" i="34"/>
  <c r="J24" i="34"/>
  <c r="J25" i="34"/>
  <c r="J26" i="34"/>
  <c r="J27" i="34"/>
  <c r="J28" i="34"/>
  <c r="J29" i="34"/>
  <c r="J30" i="34"/>
  <c r="J31" i="34"/>
  <c r="J7" i="34"/>
  <c r="E15" i="31"/>
  <c r="R7" i="34"/>
  <c r="R8" i="34"/>
  <c r="R9" i="34"/>
  <c r="R10" i="34"/>
  <c r="R11" i="34"/>
  <c r="R12" i="34"/>
  <c r="R13" i="34"/>
  <c r="R14" i="34"/>
  <c r="R15" i="34"/>
  <c r="R16" i="34"/>
  <c r="R17" i="34"/>
  <c r="R18" i="34"/>
  <c r="R19" i="34"/>
  <c r="R20" i="34"/>
  <c r="R21" i="34"/>
  <c r="R22" i="34"/>
  <c r="R23" i="34"/>
  <c r="R24" i="34"/>
  <c r="R25" i="34"/>
  <c r="R26" i="34"/>
  <c r="R27" i="34"/>
  <c r="R28" i="34"/>
  <c r="R29" i="34"/>
  <c r="R30" i="34"/>
  <c r="R31" i="34"/>
  <c r="S8" i="34"/>
  <c r="S9" i="34"/>
  <c r="S10" i="34"/>
  <c r="S11" i="34"/>
  <c r="S12" i="34"/>
  <c r="S13" i="34"/>
  <c r="S14" i="34"/>
  <c r="S15" i="34"/>
  <c r="S16" i="34"/>
  <c r="S17" i="34"/>
  <c r="S18" i="34"/>
  <c r="S19" i="34"/>
  <c r="S20" i="34"/>
  <c r="S21" i="34"/>
  <c r="S22" i="34"/>
  <c r="S23" i="34"/>
  <c r="S24" i="34"/>
  <c r="S25" i="34"/>
  <c r="S26" i="34"/>
  <c r="S27" i="34"/>
  <c r="S28" i="34"/>
  <c r="S29" i="34"/>
  <c r="S30" i="34"/>
  <c r="S31" i="34"/>
  <c r="S7" i="34"/>
  <c r="Q32" i="34"/>
  <c r="P32" i="34"/>
  <c r="O32" i="34"/>
  <c r="M32" i="34"/>
  <c r="N32" i="34"/>
  <c r="F3" i="34"/>
  <c r="D3" i="34" s="1"/>
  <c r="N3" i="34"/>
  <c r="H3" i="34"/>
  <c r="I3" i="34" s="1"/>
  <c r="M3" i="34" s="1"/>
  <c r="O3" i="34" s="1"/>
  <c r="S32" i="34" l="1"/>
  <c r="L32" i="34"/>
  <c r="R32" i="34"/>
  <c r="J32" i="34"/>
  <c r="D12" i="2"/>
  <c r="E8" i="2"/>
  <c r="J40" i="27"/>
  <c r="J39" i="27"/>
  <c r="J38" i="27"/>
  <c r="J37" i="27"/>
  <c r="J36" i="27"/>
  <c r="J35" i="27"/>
  <c r="J34" i="27"/>
  <c r="J33" i="27"/>
  <c r="J32" i="27"/>
  <c r="J31" i="27"/>
  <c r="J30" i="27"/>
  <c r="B30" i="27"/>
  <c r="B31" i="27" s="1"/>
  <c r="B32" i="27" s="1"/>
  <c r="B33" i="27" s="1"/>
  <c r="B34" i="27" s="1"/>
  <c r="B35" i="27" s="1"/>
  <c r="B36" i="27" s="1"/>
  <c r="B37" i="27" s="1"/>
  <c r="B38" i="27" s="1"/>
  <c r="B39" i="27" s="1"/>
  <c r="B40" i="27" s="1"/>
  <c r="J29" i="27"/>
  <c r="H28" i="27"/>
  <c r="G28" i="27"/>
  <c r="F28" i="27"/>
  <c r="E28" i="27"/>
  <c r="H27" i="27"/>
  <c r="G27" i="27"/>
  <c r="F27" i="27"/>
  <c r="E27" i="27"/>
  <c r="T4" i="11"/>
  <c r="Y4" i="11" s="1"/>
  <c r="X4" i="11"/>
  <c r="Z4" i="11" s="1"/>
  <c r="T5" i="11"/>
  <c r="Y5" i="11" s="1"/>
  <c r="X5" i="11"/>
  <c r="Z5" i="11" s="1"/>
  <c r="T6" i="11"/>
  <c r="Y6" i="11" s="1"/>
  <c r="X6" i="11"/>
  <c r="Z6" i="11" s="1"/>
  <c r="T7" i="11"/>
  <c r="AA7" i="11" s="1"/>
  <c r="X7" i="11"/>
  <c r="Y7" i="11"/>
  <c r="Z7" i="11"/>
  <c r="T8" i="11"/>
  <c r="X8" i="11"/>
  <c r="Y8" i="11"/>
  <c r="Z8" i="11"/>
  <c r="AA8" i="11"/>
  <c r="T9" i="11"/>
  <c r="Y9" i="11" s="1"/>
  <c r="X9" i="11"/>
  <c r="Z9" i="11"/>
  <c r="AA9" i="11"/>
  <c r="T10" i="11"/>
  <c r="Y10" i="11" s="1"/>
  <c r="X10" i="11"/>
  <c r="Z10" i="11"/>
  <c r="T11" i="11"/>
  <c r="Y11" i="11" s="1"/>
  <c r="X11" i="11"/>
  <c r="Z11" i="11" s="1"/>
  <c r="T12" i="11"/>
  <c r="AA12" i="11" s="1"/>
  <c r="X12" i="11"/>
  <c r="Z12" i="11" s="1"/>
  <c r="Y12" i="11"/>
  <c r="T13" i="11"/>
  <c r="X13" i="11"/>
  <c r="Z13" i="11" s="1"/>
  <c r="Y13" i="11"/>
  <c r="T14" i="11"/>
  <c r="X14" i="11"/>
  <c r="Y14" i="11"/>
  <c r="Z14" i="11"/>
  <c r="AA14" i="11"/>
  <c r="T15" i="11"/>
  <c r="X15" i="11"/>
  <c r="Y15" i="11"/>
  <c r="Z15" i="11"/>
  <c r="AA15" i="11"/>
  <c r="T16" i="11"/>
  <c r="Y16" i="11" s="1"/>
  <c r="X16" i="11"/>
  <c r="Z16" i="11" s="1"/>
  <c r="AA16" i="11"/>
  <c r="T17" i="11"/>
  <c r="Y17" i="11" s="1"/>
  <c r="X17" i="11"/>
  <c r="Z17" i="11" s="1"/>
  <c r="T18" i="11"/>
  <c r="Y18" i="11" s="1"/>
  <c r="X18" i="11"/>
  <c r="Z18" i="11" s="1"/>
  <c r="T19" i="11"/>
  <c r="AA19" i="11" s="1"/>
  <c r="X19" i="11"/>
  <c r="Y19" i="11"/>
  <c r="Z19" i="11"/>
  <c r="T20" i="11"/>
  <c r="X20" i="11"/>
  <c r="Y20" i="11"/>
  <c r="Z20" i="11"/>
  <c r="AA20" i="11"/>
  <c r="T21" i="11"/>
  <c r="Y21" i="11" s="1"/>
  <c r="X21" i="11"/>
  <c r="Z21" i="11"/>
  <c r="AA21" i="11"/>
  <c r="T22" i="11"/>
  <c r="Y22" i="11" s="1"/>
  <c r="X22" i="11"/>
  <c r="Z22" i="11"/>
  <c r="AA22" i="11"/>
  <c r="T23" i="11"/>
  <c r="Y23" i="11" s="1"/>
  <c r="X23" i="11"/>
  <c r="Z23" i="11" s="1"/>
  <c r="T24" i="11"/>
  <c r="AA24" i="11" s="1"/>
  <c r="X24" i="11"/>
  <c r="Z24" i="11" s="1"/>
  <c r="Y24" i="11"/>
  <c r="T25" i="11"/>
  <c r="X25" i="11"/>
  <c r="Z25" i="11" s="1"/>
  <c r="Y25" i="11"/>
  <c r="Q26" i="11"/>
  <c r="R26" i="11"/>
  <c r="S26" i="11"/>
  <c r="U26" i="11"/>
  <c r="V26" i="11"/>
  <c r="W26" i="11"/>
  <c r="O32" i="31"/>
  <c r="O33" i="31"/>
  <c r="O31" i="31"/>
  <c r="N32" i="31"/>
  <c r="N33" i="31"/>
  <c r="N31" i="31"/>
  <c r="O28" i="31"/>
  <c r="O29" i="31"/>
  <c r="O27" i="31"/>
  <c r="N28" i="31"/>
  <c r="N29" i="31"/>
  <c r="N27" i="31"/>
  <c r="N13" i="31"/>
  <c r="O8" i="31"/>
  <c r="O9" i="31"/>
  <c r="O7" i="31"/>
  <c r="N8" i="31"/>
  <c r="N9" i="31"/>
  <c r="N7" i="31"/>
  <c r="O4" i="31"/>
  <c r="O5" i="31"/>
  <c r="O3" i="31"/>
  <c r="N4" i="31"/>
  <c r="N5" i="31"/>
  <c r="N3" i="31"/>
  <c r="H17" i="31"/>
  <c r="G12" i="2"/>
  <c r="E12" i="2"/>
  <c r="F12" i="2"/>
  <c r="L9" i="31"/>
  <c r="L8" i="31"/>
  <c r="L7" i="31"/>
  <c r="L5" i="31"/>
  <c r="L4" i="31"/>
  <c r="L3" i="31"/>
  <c r="J9" i="31"/>
  <c r="J8" i="31"/>
  <c r="J7" i="31"/>
  <c r="J5" i="31"/>
  <c r="J4" i="31"/>
  <c r="J3" i="31"/>
  <c r="J38" i="31"/>
  <c r="J35" i="31"/>
  <c r="J34" i="31"/>
  <c r="J33" i="31"/>
  <c r="J32" i="31"/>
  <c r="J31" i="31"/>
  <c r="J30" i="31"/>
  <c r="L35" i="31"/>
  <c r="L34" i="31"/>
  <c r="L33" i="31"/>
  <c r="L32" i="31"/>
  <c r="L31" i="31"/>
  <c r="L30" i="31"/>
  <c r="L29" i="31"/>
  <c r="L28" i="31"/>
  <c r="L27" i="31"/>
  <c r="J27" i="31"/>
  <c r="J28" i="31"/>
  <c r="J29" i="31"/>
  <c r="G44" i="31"/>
  <c r="H34" i="31"/>
  <c r="G35" i="31"/>
  <c r="J44" i="27" l="1"/>
  <c r="J42" i="27"/>
  <c r="J43" i="27"/>
  <c r="Z26" i="11"/>
  <c r="Y26" i="11"/>
  <c r="AA10" i="11"/>
  <c r="X26" i="11"/>
  <c r="AA17" i="11"/>
  <c r="AA5" i="11"/>
  <c r="T26" i="11"/>
  <c r="AA4" i="11"/>
  <c r="AA23" i="11"/>
  <c r="AA11" i="11"/>
  <c r="AA18" i="11"/>
  <c r="AA6" i="11"/>
  <c r="AA25" i="11"/>
  <c r="AA13" i="11"/>
  <c r="H41" i="31"/>
  <c r="I47" i="31"/>
  <c r="D30" i="31"/>
  <c r="D35" i="31" s="1"/>
  <c r="J14" i="33"/>
  <c r="J15" i="33"/>
  <c r="J16" i="33"/>
  <c r="J17" i="33"/>
  <c r="J18" i="33"/>
  <c r="J4" i="33"/>
  <c r="J5" i="33" s="1"/>
  <c r="J6" i="33" s="1"/>
  <c r="J7" i="33" s="1"/>
  <c r="J8" i="33" s="1"/>
  <c r="J9" i="33" s="1"/>
  <c r="J10" i="33" s="1"/>
  <c r="J11" i="33" s="1"/>
  <c r="J12" i="33" s="1"/>
  <c r="J13" i="33" s="1"/>
  <c r="D6" i="33"/>
  <c r="D7" i="33" s="1"/>
  <c r="D8" i="33" s="1"/>
  <c r="D9" i="33" s="1"/>
  <c r="D10" i="33" s="1"/>
  <c r="D11" i="33" s="1"/>
  <c r="D12" i="33" s="1"/>
  <c r="D13" i="33" s="1"/>
  <c r="D5" i="33"/>
  <c r="D4" i="33"/>
  <c r="H35" i="31"/>
  <c r="F35" i="31"/>
  <c r="F38" i="31"/>
  <c r="F37" i="31"/>
  <c r="G47" i="31"/>
  <c r="C35" i="31"/>
  <c r="E35" i="31"/>
  <c r="I35" i="31"/>
  <c r="K35" i="31"/>
  <c r="L38" i="31"/>
  <c r="H28" i="31"/>
  <c r="H29" i="31"/>
  <c r="H30" i="31"/>
  <c r="H31" i="31"/>
  <c r="H32" i="31"/>
  <c r="H33" i="31"/>
  <c r="H27" i="31"/>
  <c r="F28" i="31"/>
  <c r="F29" i="31"/>
  <c r="F30" i="31"/>
  <c r="F31" i="31"/>
  <c r="F32" i="31"/>
  <c r="F33" i="31"/>
  <c r="F34" i="31"/>
  <c r="F27" i="31"/>
  <c r="D28" i="31"/>
  <c r="D29" i="31"/>
  <c r="D31" i="31"/>
  <c r="D32" i="31"/>
  <c r="D33" i="31"/>
  <c r="D34" i="31"/>
  <c r="D27" i="31"/>
  <c r="H3" i="31"/>
  <c r="F3" i="31"/>
  <c r="D3" i="31"/>
  <c r="H5" i="31"/>
  <c r="F5" i="31"/>
  <c r="D5" i="31"/>
  <c r="R12" i="7"/>
  <c r="Q12" i="7"/>
  <c r="O12" i="7"/>
  <c r="R11" i="7"/>
  <c r="Q11" i="7"/>
  <c r="O11" i="7"/>
  <c r="C7" i="12"/>
  <c r="P12" i="7" l="1"/>
  <c r="P11" i="7"/>
  <c r="Y27" i="11"/>
  <c r="Z27" i="11"/>
  <c r="AA26" i="11"/>
  <c r="T27" i="11"/>
  <c r="O7" i="7"/>
  <c r="Q27" i="11" l="1"/>
  <c r="V27" i="11"/>
  <c r="AA27" i="11"/>
  <c r="W27" i="11"/>
  <c r="U27" i="11"/>
  <c r="R27" i="11"/>
  <c r="S27" i="11"/>
  <c r="X27" i="11"/>
  <c r="K24" i="8"/>
  <c r="K4" i="6"/>
  <c r="K6" i="6"/>
  <c r="I6" i="6"/>
  <c r="G6" i="6"/>
  <c r="K8" i="6"/>
  <c r="K7" i="6"/>
  <c r="I8" i="6"/>
  <c r="I7" i="6"/>
  <c r="G8" i="6"/>
  <c r="G7" i="6"/>
  <c r="E4" i="6"/>
  <c r="D6" i="4"/>
  <c r="C6" i="4"/>
  <c r="Q3" i="3"/>
  <c r="P3" i="3"/>
  <c r="J3" i="3"/>
  <c r="J4" i="3"/>
  <c r="J5" i="3"/>
  <c r="J6" i="3"/>
  <c r="J10" i="3"/>
  <c r="J11" i="3"/>
  <c r="J12" i="3"/>
  <c r="J7" i="3"/>
  <c r="J8" i="3"/>
  <c r="J9" i="3"/>
  <c r="J14" i="3"/>
  <c r="J13" i="3"/>
  <c r="N15" i="3"/>
  <c r="P4" i="3"/>
  <c r="P5" i="3"/>
  <c r="P6" i="3"/>
  <c r="P7" i="3"/>
  <c r="P8" i="3"/>
  <c r="P9" i="3"/>
  <c r="P10" i="3"/>
  <c r="P11" i="3"/>
  <c r="P12" i="3"/>
  <c r="P13" i="3"/>
  <c r="P14" i="3"/>
  <c r="K15" i="3"/>
  <c r="F15" i="3"/>
  <c r="G5" i="3" s="1"/>
  <c r="E4" i="3"/>
  <c r="E5" i="3"/>
  <c r="E6" i="3"/>
  <c r="E7" i="3"/>
  <c r="E8" i="3"/>
  <c r="E9" i="3"/>
  <c r="E10" i="3"/>
  <c r="E11" i="3"/>
  <c r="E13" i="3"/>
  <c r="E14" i="3"/>
  <c r="H15" i="3"/>
  <c r="I10" i="3" s="1"/>
  <c r="O51" i="15"/>
  <c r="N51" i="15"/>
  <c r="M51" i="15"/>
  <c r="E7" i="6"/>
  <c r="E8" i="6"/>
  <c r="N41" i="31"/>
  <c r="K3" i="6"/>
  <c r="C9" i="6"/>
  <c r="D9" i="6"/>
  <c r="F9" i="6"/>
  <c r="H9" i="6"/>
  <c r="J9" i="6"/>
  <c r="E6" i="6"/>
  <c r="G3" i="6"/>
  <c r="I3" i="6" s="1"/>
  <c r="I4" i="6"/>
  <c r="G4" i="6"/>
  <c r="K9" i="6" l="1"/>
  <c r="G9" i="6"/>
  <c r="I9" i="6"/>
  <c r="E9" i="6"/>
  <c r="J15" i="3"/>
  <c r="I5" i="3"/>
  <c r="I8" i="3"/>
  <c r="I9" i="3"/>
  <c r="I7" i="3"/>
  <c r="I4" i="3"/>
  <c r="I6" i="3"/>
  <c r="I13" i="3"/>
  <c r="I12" i="3"/>
  <c r="I14" i="3"/>
  <c r="I11" i="3"/>
  <c r="G14" i="3"/>
  <c r="G13" i="3"/>
  <c r="G12" i="3"/>
  <c r="G11" i="3"/>
  <c r="G10" i="3"/>
  <c r="G9" i="3"/>
  <c r="G8" i="3"/>
  <c r="G7" i="3"/>
  <c r="G6" i="3"/>
  <c r="I3" i="3"/>
  <c r="I15" i="3" l="1"/>
  <c r="L4" i="3"/>
  <c r="L5" i="3"/>
  <c r="L6" i="3"/>
  <c r="L10" i="3"/>
  <c r="L12" i="3"/>
  <c r="L14" i="3"/>
  <c r="L7" i="3"/>
  <c r="L8" i="3"/>
  <c r="L9" i="3"/>
  <c r="L13" i="3"/>
  <c r="L11" i="3"/>
  <c r="L3" i="3"/>
  <c r="C11" i="6"/>
  <c r="J12" i="6"/>
  <c r="J11" i="6"/>
  <c r="J10" i="6"/>
  <c r="J5" i="6"/>
  <c r="H12" i="6"/>
  <c r="K12" i="6" s="1"/>
  <c r="H11" i="6"/>
  <c r="K11" i="6" s="1"/>
  <c r="H10" i="6"/>
  <c r="H5" i="6"/>
  <c r="K5" i="6" s="1"/>
  <c r="F12" i="6"/>
  <c r="F11" i="6"/>
  <c r="F10" i="6"/>
  <c r="F5" i="6"/>
  <c r="D12" i="6"/>
  <c r="D11" i="6"/>
  <c r="C10" i="6"/>
  <c r="K10" i="6" l="1"/>
  <c r="G12" i="6"/>
  <c r="I10" i="6"/>
  <c r="I12" i="6"/>
  <c r="I11" i="6"/>
  <c r="G11" i="6"/>
  <c r="E11" i="6"/>
  <c r="L15" i="3"/>
  <c r="I5" i="6"/>
  <c r="I14" i="32"/>
  <c r="J16" i="32" s="1"/>
  <c r="J11" i="32"/>
  <c r="G11" i="32"/>
  <c r="J8" i="32"/>
  <c r="G8" i="32"/>
  <c r="J5" i="32"/>
  <c r="G5" i="32"/>
  <c r="I16" i="32" l="1"/>
  <c r="G46" i="31" l="1"/>
  <c r="K34" i="31"/>
  <c r="I34" i="31"/>
  <c r="G34" i="31"/>
  <c r="E34" i="31"/>
  <c r="C34" i="31"/>
  <c r="K30" i="31"/>
  <c r="I30" i="31"/>
  <c r="G30" i="31"/>
  <c r="E30" i="31"/>
  <c r="C30" i="31"/>
  <c r="K21" i="31"/>
  <c r="K23" i="31" s="1"/>
  <c r="I21" i="31"/>
  <c r="I23" i="31" s="1"/>
  <c r="N17" i="31"/>
  <c r="K10" i="31"/>
  <c r="I10" i="31"/>
  <c r="G10" i="31"/>
  <c r="E10" i="31"/>
  <c r="C10" i="31"/>
  <c r="K6" i="31"/>
  <c r="I6" i="31"/>
  <c r="G6" i="31"/>
  <c r="E6" i="31"/>
  <c r="F13" i="31" s="1"/>
  <c r="C6" i="31"/>
  <c r="L10" i="31" l="1"/>
  <c r="L6" i="31"/>
  <c r="K11" i="31"/>
  <c r="J10" i="31"/>
  <c r="J6" i="31"/>
  <c r="I11" i="31"/>
  <c r="G11" i="31"/>
  <c r="C11" i="31"/>
  <c r="E38" i="31"/>
  <c r="F14" i="31"/>
  <c r="J11" i="31" l="1"/>
  <c r="E23" i="31"/>
  <c r="E20" i="31"/>
  <c r="F8" i="31"/>
  <c r="F9" i="31"/>
  <c r="F6" i="31"/>
  <c r="F4" i="31"/>
  <c r="F7" i="31"/>
  <c r="F10" i="31"/>
  <c r="D8" i="31"/>
  <c r="D9" i="31"/>
  <c r="D6" i="31"/>
  <c r="D10" i="31"/>
  <c r="D4" i="31"/>
  <c r="D7" i="31"/>
  <c r="L11" i="31"/>
  <c r="L14" i="31"/>
  <c r="H6" i="31"/>
  <c r="H9" i="31"/>
  <c r="H7" i="31"/>
  <c r="H8" i="31"/>
  <c r="O10" i="31"/>
  <c r="H10" i="31"/>
  <c r="H11" i="31" s="1"/>
  <c r="J14" i="31"/>
  <c r="H4" i="31"/>
  <c r="G23" i="31"/>
  <c r="G20" i="31"/>
  <c r="O30" i="31"/>
  <c r="N30" i="31"/>
  <c r="O6" i="31"/>
  <c r="O34" i="31"/>
  <c r="N34" i="31"/>
  <c r="N10" i="31"/>
  <c r="N6" i="31"/>
  <c r="F15" i="31"/>
  <c r="E39" i="31"/>
  <c r="N37" i="31" s="1"/>
  <c r="F39" i="31"/>
  <c r="F11" i="31" l="1"/>
  <c r="D11" i="31"/>
  <c r="N38" i="31"/>
  <c r="N14" i="31"/>
  <c r="G51" i="15"/>
  <c r="H51" i="15" l="1"/>
  <c r="I47" i="15" s="1"/>
  <c r="I51" i="15" s="1"/>
  <c r="J47" i="15" s="1"/>
  <c r="J51" i="15" s="1"/>
  <c r="H47" i="15"/>
  <c r="O13" i="3"/>
  <c r="O14" i="3"/>
  <c r="O3" i="3"/>
  <c r="O4" i="3"/>
  <c r="O5" i="3"/>
  <c r="O6" i="3"/>
  <c r="O7" i="3"/>
  <c r="O8" i="3"/>
  <c r="O9" i="3"/>
  <c r="O10" i="3"/>
  <c r="O11" i="3"/>
  <c r="O12" i="3"/>
  <c r="K51" i="15"/>
  <c r="L51" i="15"/>
  <c r="I9" i="16"/>
  <c r="E9" i="16"/>
  <c r="C9" i="14"/>
  <c r="C10" i="14" s="1"/>
  <c r="I9" i="13"/>
  <c r="E9" i="13"/>
  <c r="F8" i="2"/>
  <c r="F13" i="2" s="1"/>
  <c r="G8" i="2"/>
  <c r="D8" i="2"/>
  <c r="J17" i="27"/>
  <c r="J16" i="27"/>
  <c r="J15" i="27"/>
  <c r="J14" i="27"/>
  <c r="J13" i="27"/>
  <c r="J12" i="27"/>
  <c r="J11" i="27"/>
  <c r="J10" i="27"/>
  <c r="J9" i="27"/>
  <c r="J8" i="27"/>
  <c r="J7" i="27"/>
  <c r="B7" i="27"/>
  <c r="B8" i="27" s="1"/>
  <c r="B9" i="27" s="1"/>
  <c r="B10" i="27" s="1"/>
  <c r="B11" i="27" s="1"/>
  <c r="B12" i="27" s="1"/>
  <c r="B13" i="27" s="1"/>
  <c r="B14" i="27" s="1"/>
  <c r="B15" i="27" s="1"/>
  <c r="B16" i="27" s="1"/>
  <c r="B17" i="27" s="1"/>
  <c r="J6" i="27"/>
  <c r="J21" i="27" s="1"/>
  <c r="H5" i="27"/>
  <c r="G5" i="27"/>
  <c r="F5" i="27"/>
  <c r="E5" i="27"/>
  <c r="H4" i="27"/>
  <c r="G4" i="27"/>
  <c r="F4" i="27"/>
  <c r="E4" i="27"/>
  <c r="I12" i="13"/>
  <c r="E6" i="17"/>
  <c r="F6" i="17"/>
  <c r="D6" i="17"/>
  <c r="L33" i="26"/>
  <c r="L35" i="26" s="1"/>
  <c r="G33" i="26"/>
  <c r="F33" i="26"/>
  <c r="D33" i="26"/>
  <c r="C33" i="26"/>
  <c r="C35" i="26" s="1"/>
  <c r="K32" i="26"/>
  <c r="I32" i="26"/>
  <c r="J32" i="26" s="1"/>
  <c r="H32" i="26"/>
  <c r="D32" i="26"/>
  <c r="I31" i="26"/>
  <c r="K31" i="26" s="1"/>
  <c r="H31" i="26"/>
  <c r="H33" i="26" s="1"/>
  <c r="D31" i="26"/>
  <c r="I30" i="26"/>
  <c r="I33" i="26" s="1"/>
  <c r="H30" i="26"/>
  <c r="D30" i="26"/>
  <c r="L27" i="26"/>
  <c r="H27" i="26"/>
  <c r="G27" i="26"/>
  <c r="F27" i="26"/>
  <c r="F35" i="26" s="1"/>
  <c r="D27" i="26"/>
  <c r="C27" i="26"/>
  <c r="I26" i="26"/>
  <c r="K26" i="26" s="1"/>
  <c r="H26" i="26"/>
  <c r="D26" i="26"/>
  <c r="H25" i="26"/>
  <c r="I25" i="26" s="1"/>
  <c r="D25" i="26"/>
  <c r="K24" i="26"/>
  <c r="I24" i="26"/>
  <c r="J24" i="26" s="1"/>
  <c r="H24" i="26"/>
  <c r="D24" i="26"/>
  <c r="I23" i="26"/>
  <c r="K23" i="26" s="1"/>
  <c r="H23" i="26"/>
  <c r="D23" i="26"/>
  <c r="I22" i="26"/>
  <c r="K22" i="26" s="1"/>
  <c r="H22" i="26"/>
  <c r="D22" i="26"/>
  <c r="H21" i="26"/>
  <c r="I21" i="26" s="1"/>
  <c r="D21" i="26"/>
  <c r="L18" i="26"/>
  <c r="G18" i="26"/>
  <c r="G35" i="26" s="1"/>
  <c r="F18" i="26"/>
  <c r="D18" i="26"/>
  <c r="C18" i="26"/>
  <c r="H17" i="26"/>
  <c r="I17" i="26" s="1"/>
  <c r="D17" i="26"/>
  <c r="K16" i="26"/>
  <c r="I16" i="26"/>
  <c r="J16" i="26" s="1"/>
  <c r="H16" i="26"/>
  <c r="D16" i="26"/>
  <c r="I15" i="26"/>
  <c r="K15" i="26" s="1"/>
  <c r="H15" i="26"/>
  <c r="D15" i="26"/>
  <c r="I14" i="26"/>
  <c r="I18" i="26" s="1"/>
  <c r="H14" i="26"/>
  <c r="H18" i="26" s="1"/>
  <c r="D14" i="26"/>
  <c r="L11" i="26"/>
  <c r="G11" i="26"/>
  <c r="F11" i="26"/>
  <c r="C11" i="26"/>
  <c r="H10" i="26"/>
  <c r="H11" i="26" s="1"/>
  <c r="D10" i="26"/>
  <c r="D11" i="26" s="1"/>
  <c r="B5" i="26"/>
  <c r="P50" i="25"/>
  <c r="R50" i="25" s="1"/>
  <c r="O50" i="25"/>
  <c r="Q50" i="25" s="1"/>
  <c r="N50" i="25"/>
  <c r="P49" i="25"/>
  <c r="R49" i="25" s="1"/>
  <c r="O49" i="25"/>
  <c r="Q49" i="25" s="1"/>
  <c r="N49" i="25"/>
  <c r="P48" i="25"/>
  <c r="R48" i="25" s="1"/>
  <c r="O48" i="25"/>
  <c r="Q48" i="25" s="1"/>
  <c r="N48" i="25"/>
  <c r="P47" i="25"/>
  <c r="R47" i="25" s="1"/>
  <c r="O47" i="25"/>
  <c r="Q47" i="25" s="1"/>
  <c r="N47" i="25"/>
  <c r="P46" i="25"/>
  <c r="R46" i="25" s="1"/>
  <c r="O46" i="25"/>
  <c r="Q46" i="25" s="1"/>
  <c r="N46" i="25"/>
  <c r="P45" i="25"/>
  <c r="R45" i="25" s="1"/>
  <c r="O45" i="25"/>
  <c r="Q45" i="25" s="1"/>
  <c r="N45" i="25"/>
  <c r="R44" i="25"/>
  <c r="Q44" i="25"/>
  <c r="P44" i="25"/>
  <c r="O44" i="25"/>
  <c r="N44" i="25"/>
  <c r="P43" i="25"/>
  <c r="R43" i="25" s="1"/>
  <c r="O43" i="25"/>
  <c r="Q43" i="25" s="1"/>
  <c r="N43" i="25"/>
  <c r="P42" i="25"/>
  <c r="R42" i="25" s="1"/>
  <c r="O42" i="25"/>
  <c r="Q42" i="25" s="1"/>
  <c r="N42" i="25"/>
  <c r="Q41" i="25"/>
  <c r="P41" i="25"/>
  <c r="R41" i="25" s="1"/>
  <c r="O41" i="25"/>
  <c r="N41" i="25"/>
  <c r="P40" i="25"/>
  <c r="R40" i="25" s="1"/>
  <c r="O40" i="25"/>
  <c r="Q40" i="25" s="1"/>
  <c r="N40" i="25"/>
  <c r="R39" i="25"/>
  <c r="P39" i="25"/>
  <c r="O39" i="25"/>
  <c r="Q39" i="25" s="1"/>
  <c r="N39" i="25"/>
  <c r="P38" i="25"/>
  <c r="R38" i="25" s="1"/>
  <c r="O38" i="25"/>
  <c r="Q38" i="25" s="1"/>
  <c r="N38" i="25"/>
  <c r="Q37" i="25"/>
  <c r="P37" i="25"/>
  <c r="R37" i="25" s="1"/>
  <c r="O37" i="25"/>
  <c r="N37" i="25"/>
  <c r="M30" i="25"/>
  <c r="L30" i="25"/>
  <c r="K30" i="25"/>
  <c r="J30" i="25"/>
  <c r="I30" i="25"/>
  <c r="Q30" i="25" s="1"/>
  <c r="H30" i="25"/>
  <c r="N30" i="25" s="1"/>
  <c r="G30" i="25"/>
  <c r="F30" i="25"/>
  <c r="P29" i="25"/>
  <c r="R29" i="25" s="1"/>
  <c r="O29" i="25"/>
  <c r="Q29" i="25" s="1"/>
  <c r="N29" i="25"/>
  <c r="E29" i="25"/>
  <c r="P28" i="25"/>
  <c r="R28" i="25" s="1"/>
  <c r="O28" i="25"/>
  <c r="Q28" i="25" s="1"/>
  <c r="N28" i="25"/>
  <c r="E28" i="25"/>
  <c r="Q27" i="25"/>
  <c r="P27" i="25"/>
  <c r="P30" i="25" s="1"/>
  <c r="R30" i="25" s="1"/>
  <c r="O27" i="25"/>
  <c r="O30" i="25" s="1"/>
  <c r="N27" i="25"/>
  <c r="E27" i="25"/>
  <c r="M23" i="25"/>
  <c r="L23" i="25"/>
  <c r="K23" i="25"/>
  <c r="J23" i="25"/>
  <c r="I23" i="25"/>
  <c r="H23" i="25"/>
  <c r="N23" i="25" s="1"/>
  <c r="G23" i="25"/>
  <c r="O23" i="25" s="1"/>
  <c r="F23" i="25"/>
  <c r="P23" i="25" s="1"/>
  <c r="P22" i="25"/>
  <c r="R22" i="25" s="1"/>
  <c r="O22" i="25"/>
  <c r="Q22" i="25" s="1"/>
  <c r="N22" i="25"/>
  <c r="Q21" i="25"/>
  <c r="P21" i="25"/>
  <c r="R21" i="25" s="1"/>
  <c r="O21" i="25"/>
  <c r="N21" i="25"/>
  <c r="P20" i="25"/>
  <c r="R20" i="25" s="1"/>
  <c r="O20" i="25"/>
  <c r="Q20" i="25" s="1"/>
  <c r="N20" i="25"/>
  <c r="P19" i="25"/>
  <c r="R19" i="25" s="1"/>
  <c r="O19" i="25"/>
  <c r="Q19" i="25" s="1"/>
  <c r="N19" i="25"/>
  <c r="P18" i="25"/>
  <c r="R18" i="25" s="1"/>
  <c r="O18" i="25"/>
  <c r="Q18" i="25" s="1"/>
  <c r="N18" i="25"/>
  <c r="P17" i="25"/>
  <c r="R17" i="25" s="1"/>
  <c r="O17" i="25"/>
  <c r="Q17" i="25" s="1"/>
  <c r="N17" i="25"/>
  <c r="P16" i="25"/>
  <c r="R16" i="25" s="1"/>
  <c r="O16" i="25"/>
  <c r="Q16" i="25" s="1"/>
  <c r="N16" i="25"/>
  <c r="P15" i="25"/>
  <c r="R15" i="25" s="1"/>
  <c r="O15" i="25"/>
  <c r="Q15" i="25" s="1"/>
  <c r="N15" i="25"/>
  <c r="P14" i="25"/>
  <c r="R14" i="25" s="1"/>
  <c r="O14" i="25"/>
  <c r="Q14" i="25" s="1"/>
  <c r="N14" i="25"/>
  <c r="P13" i="25"/>
  <c r="R13" i="25" s="1"/>
  <c r="O13" i="25"/>
  <c r="Q13" i="25" s="1"/>
  <c r="N13" i="25"/>
  <c r="P12" i="25"/>
  <c r="R12" i="25" s="1"/>
  <c r="O12" i="25"/>
  <c r="Q12" i="25" s="1"/>
  <c r="N12" i="25"/>
  <c r="P11" i="25"/>
  <c r="R11" i="25" s="1"/>
  <c r="O11" i="25"/>
  <c r="Q11" i="25" s="1"/>
  <c r="N11" i="25"/>
  <c r="R10" i="25"/>
  <c r="P10" i="25"/>
  <c r="O10" i="25"/>
  <c r="Q10" i="25" s="1"/>
  <c r="N10" i="25"/>
  <c r="Q9" i="25"/>
  <c r="P9" i="25"/>
  <c r="R9" i="25" s="1"/>
  <c r="O9" i="25"/>
  <c r="N9" i="25"/>
  <c r="P8" i="25"/>
  <c r="R8" i="25" s="1"/>
  <c r="O8" i="25"/>
  <c r="Q8" i="25" s="1"/>
  <c r="N8" i="25"/>
  <c r="P7" i="25"/>
  <c r="R7" i="25" s="1"/>
  <c r="O7" i="25"/>
  <c r="Q7" i="25" s="1"/>
  <c r="N7" i="25"/>
  <c r="P6" i="25"/>
  <c r="R6" i="25" s="1"/>
  <c r="O6" i="25"/>
  <c r="Q6" i="25" s="1"/>
  <c r="N6" i="25"/>
  <c r="Q5" i="25"/>
  <c r="P5" i="25"/>
  <c r="R5" i="25" s="1"/>
  <c r="O5" i="25"/>
  <c r="N5" i="25"/>
  <c r="G34" i="24"/>
  <c r="F34" i="24"/>
  <c r="E34" i="24"/>
  <c r="D34" i="24"/>
  <c r="D36" i="24" s="1"/>
  <c r="C34" i="24"/>
  <c r="H33" i="24"/>
  <c r="H32" i="24"/>
  <c r="H31" i="24"/>
  <c r="H34" i="24" s="1"/>
  <c r="G29" i="24"/>
  <c r="G35" i="24" s="1"/>
  <c r="H28" i="24"/>
  <c r="G27" i="24"/>
  <c r="F27" i="24"/>
  <c r="F29" i="24" s="1"/>
  <c r="F35" i="24" s="1"/>
  <c r="G26" i="24"/>
  <c r="F26" i="24"/>
  <c r="E26" i="24"/>
  <c r="E27" i="24" s="1"/>
  <c r="E29" i="24" s="1"/>
  <c r="E35" i="24" s="1"/>
  <c r="D26" i="24"/>
  <c r="C26" i="24"/>
  <c r="H26" i="24" s="1"/>
  <c r="H25" i="24"/>
  <c r="H24" i="24"/>
  <c r="H23" i="24"/>
  <c r="H22" i="24"/>
  <c r="H21" i="24"/>
  <c r="H20" i="24"/>
  <c r="H19" i="24"/>
  <c r="H18" i="24"/>
  <c r="H27" i="24" s="1"/>
  <c r="G18" i="24"/>
  <c r="F18" i="24"/>
  <c r="E18" i="24"/>
  <c r="D18" i="24"/>
  <c r="D27" i="24" s="1"/>
  <c r="D29" i="24" s="1"/>
  <c r="D35" i="24" s="1"/>
  <c r="C18" i="24"/>
  <c r="C27" i="24" s="1"/>
  <c r="C29" i="24" s="1"/>
  <c r="H16" i="24"/>
  <c r="H15" i="24"/>
  <c r="H14" i="24"/>
  <c r="J14" i="24" s="1"/>
  <c r="K14" i="24" s="1"/>
  <c r="H13" i="24"/>
  <c r="G10" i="24"/>
  <c r="F10" i="24"/>
  <c r="E10" i="24"/>
  <c r="D10" i="24"/>
  <c r="C10" i="24"/>
  <c r="H8" i="24"/>
  <c r="H7" i="24"/>
  <c r="H6" i="24"/>
  <c r="H5" i="24"/>
  <c r="H4" i="24"/>
  <c r="N26" i="23"/>
  <c r="O26" i="23" s="1"/>
  <c r="F25" i="23"/>
  <c r="E25" i="23"/>
  <c r="J24" i="23"/>
  <c r="G24" i="23"/>
  <c r="F24" i="23"/>
  <c r="E24" i="23"/>
  <c r="C24" i="23"/>
  <c r="J23" i="23"/>
  <c r="G23" i="23"/>
  <c r="F23" i="23"/>
  <c r="E23" i="23"/>
  <c r="C23" i="23"/>
  <c r="J22" i="23"/>
  <c r="I22" i="23"/>
  <c r="H22" i="23"/>
  <c r="G22" i="23"/>
  <c r="F22" i="23"/>
  <c r="E22" i="23"/>
  <c r="C22" i="23"/>
  <c r="J21" i="23"/>
  <c r="I21" i="23"/>
  <c r="H21" i="23"/>
  <c r="G21" i="23"/>
  <c r="F21" i="23"/>
  <c r="E21" i="23"/>
  <c r="C21" i="23"/>
  <c r="J20" i="23"/>
  <c r="I20" i="23"/>
  <c r="H20" i="23"/>
  <c r="G20" i="23"/>
  <c r="F20" i="23"/>
  <c r="E20" i="23"/>
  <c r="C20" i="23"/>
  <c r="J19" i="23"/>
  <c r="I19" i="23"/>
  <c r="H19" i="23"/>
  <c r="G19" i="23"/>
  <c r="F19" i="23"/>
  <c r="E19" i="23"/>
  <c r="C19" i="23"/>
  <c r="J18" i="23"/>
  <c r="I18" i="23"/>
  <c r="H18" i="23"/>
  <c r="G18" i="23"/>
  <c r="F18" i="23"/>
  <c r="E18" i="23"/>
  <c r="C18" i="23"/>
  <c r="N17" i="23"/>
  <c r="O17" i="23" s="1"/>
  <c r="J16" i="23"/>
  <c r="J25" i="23" s="1"/>
  <c r="I16" i="23"/>
  <c r="I25" i="23" s="1"/>
  <c r="H16" i="23"/>
  <c r="H25" i="23" s="1"/>
  <c r="G16" i="23"/>
  <c r="G25" i="23" s="1"/>
  <c r="F16" i="23"/>
  <c r="E16" i="23"/>
  <c r="C16" i="23"/>
  <c r="C25" i="23" s="1"/>
  <c r="O8" i="23"/>
  <c r="N8" i="23"/>
  <c r="N7" i="23"/>
  <c r="O7" i="23" s="1"/>
  <c r="O6" i="23"/>
  <c r="N6" i="23"/>
  <c r="J66" i="22"/>
  <c r="I66" i="22"/>
  <c r="H66" i="22"/>
  <c r="G66" i="22"/>
  <c r="F66" i="22"/>
  <c r="E66" i="22"/>
  <c r="D66" i="22"/>
  <c r="C66" i="22"/>
  <c r="I62" i="22"/>
  <c r="I67" i="22" s="1"/>
  <c r="H62" i="22"/>
  <c r="H63" i="22" s="1"/>
  <c r="H64" i="22" s="1"/>
  <c r="J61" i="22"/>
  <c r="I61" i="22"/>
  <c r="I63" i="22" s="1"/>
  <c r="I64" i="22" s="1"/>
  <c r="H61" i="22"/>
  <c r="G61" i="22"/>
  <c r="F61" i="22"/>
  <c r="F63" i="22" s="1"/>
  <c r="F64" i="22" s="1"/>
  <c r="E61" i="22"/>
  <c r="D61" i="22"/>
  <c r="C61" i="22"/>
  <c r="G55" i="22"/>
  <c r="F55" i="22"/>
  <c r="F56" i="22" s="1"/>
  <c r="F57" i="22" s="1"/>
  <c r="J54" i="22"/>
  <c r="I54" i="22"/>
  <c r="H54" i="22"/>
  <c r="G54" i="22"/>
  <c r="G58" i="22" s="1"/>
  <c r="G59" i="22" s="1"/>
  <c r="F54" i="22"/>
  <c r="F58" i="22" s="1"/>
  <c r="F59" i="22" s="1"/>
  <c r="E54" i="22"/>
  <c r="D54" i="22"/>
  <c r="C54" i="22"/>
  <c r="J51" i="22"/>
  <c r="I51" i="22"/>
  <c r="H51" i="22"/>
  <c r="G51" i="22"/>
  <c r="F51" i="22"/>
  <c r="E51" i="22"/>
  <c r="D51" i="22"/>
  <c r="J50" i="22"/>
  <c r="I50" i="22"/>
  <c r="H50" i="22"/>
  <c r="G50" i="22"/>
  <c r="F50" i="22"/>
  <c r="E50" i="22"/>
  <c r="D50" i="22"/>
  <c r="B50" i="22"/>
  <c r="AF49" i="22"/>
  <c r="I49" i="22"/>
  <c r="H49" i="22"/>
  <c r="G49" i="22"/>
  <c r="J47" i="22"/>
  <c r="I47" i="22"/>
  <c r="H47" i="22"/>
  <c r="G47" i="22"/>
  <c r="F47" i="22"/>
  <c r="E47" i="22"/>
  <c r="D47" i="22"/>
  <c r="J46" i="22"/>
  <c r="I46" i="22"/>
  <c r="H46" i="22"/>
  <c r="G46" i="22"/>
  <c r="F46" i="22"/>
  <c r="E46" i="22"/>
  <c r="D46" i="22"/>
  <c r="J45" i="22"/>
  <c r="J49" i="22" s="1"/>
  <c r="I45" i="22"/>
  <c r="H45" i="22"/>
  <c r="G45" i="22"/>
  <c r="F45" i="22"/>
  <c r="F49" i="22" s="1"/>
  <c r="E45" i="22"/>
  <c r="E49" i="22" s="1"/>
  <c r="D45" i="22"/>
  <c r="D49" i="22" s="1"/>
  <c r="C45" i="22"/>
  <c r="C49" i="22" s="1"/>
  <c r="J43" i="22"/>
  <c r="I43" i="22"/>
  <c r="H43" i="22"/>
  <c r="G43" i="22"/>
  <c r="F43" i="22"/>
  <c r="E43" i="22"/>
  <c r="D43" i="22"/>
  <c r="J42" i="22"/>
  <c r="I42" i="22"/>
  <c r="H42" i="22"/>
  <c r="G42" i="22"/>
  <c r="F42" i="22"/>
  <c r="E42" i="22"/>
  <c r="D42" i="22"/>
  <c r="C42" i="22"/>
  <c r="C43" i="22" s="1"/>
  <c r="V41" i="22"/>
  <c r="W41" i="22" s="1"/>
  <c r="U41" i="22"/>
  <c r="J41" i="22"/>
  <c r="I41" i="22"/>
  <c r="H41" i="22"/>
  <c r="G41" i="22"/>
  <c r="F41" i="22"/>
  <c r="E41" i="22"/>
  <c r="D41" i="22"/>
  <c r="C41" i="22"/>
  <c r="N41" i="22" s="1"/>
  <c r="K41" i="22" s="1"/>
  <c r="L41" i="22" s="1"/>
  <c r="U40" i="22"/>
  <c r="V40" i="22" s="1"/>
  <c r="W40" i="22" s="1"/>
  <c r="X40" i="22" s="1"/>
  <c r="Y40" i="22" s="1"/>
  <c r="Z40" i="22" s="1"/>
  <c r="AA40" i="22" s="1"/>
  <c r="AB40" i="22" s="1"/>
  <c r="AC40" i="22" s="1"/>
  <c r="AD40" i="22" s="1"/>
  <c r="AE40" i="22" s="1"/>
  <c r="AF40" i="22" s="1"/>
  <c r="J40" i="22"/>
  <c r="N40" i="22" s="1"/>
  <c r="K40" i="22" s="1"/>
  <c r="L40" i="22" s="1"/>
  <c r="J39" i="22"/>
  <c r="I39" i="22"/>
  <c r="H39" i="22"/>
  <c r="G39" i="22"/>
  <c r="F39" i="22"/>
  <c r="E39" i="22"/>
  <c r="D39" i="22"/>
  <c r="J38" i="22"/>
  <c r="I38" i="22"/>
  <c r="H38" i="22"/>
  <c r="G38" i="22"/>
  <c r="F38" i="22"/>
  <c r="E38" i="22"/>
  <c r="D38" i="22"/>
  <c r="N37" i="22"/>
  <c r="K37" i="22"/>
  <c r="L37" i="22" s="1"/>
  <c r="N36" i="22"/>
  <c r="K36" i="22" s="1"/>
  <c r="L36" i="22" s="1"/>
  <c r="N35" i="22"/>
  <c r="K35" i="22" s="1"/>
  <c r="L35" i="22" s="1"/>
  <c r="N34" i="22"/>
  <c r="K34" i="22" s="1"/>
  <c r="J33" i="22"/>
  <c r="I33" i="22"/>
  <c r="H33" i="22"/>
  <c r="G33" i="22"/>
  <c r="F33" i="22"/>
  <c r="E33" i="22"/>
  <c r="D33" i="22"/>
  <c r="J32" i="22"/>
  <c r="I32" i="22"/>
  <c r="H32" i="22"/>
  <c r="G32" i="22"/>
  <c r="F32" i="22"/>
  <c r="E32" i="22"/>
  <c r="D32" i="22"/>
  <c r="N31" i="22"/>
  <c r="K31" i="22" s="1"/>
  <c r="N30" i="22"/>
  <c r="K30" i="22"/>
  <c r="N29" i="22"/>
  <c r="K29" i="22"/>
  <c r="L29" i="22" s="1"/>
  <c r="J28" i="22"/>
  <c r="I28" i="22"/>
  <c r="H28" i="22"/>
  <c r="G28" i="22"/>
  <c r="F28" i="22"/>
  <c r="E28" i="22"/>
  <c r="D28" i="22"/>
  <c r="N27" i="22"/>
  <c r="K27" i="22" s="1"/>
  <c r="J26" i="22"/>
  <c r="J55" i="22" s="1"/>
  <c r="I26" i="22"/>
  <c r="I55" i="22" s="1"/>
  <c r="H26" i="22"/>
  <c r="H55" i="22" s="1"/>
  <c r="G26" i="22"/>
  <c r="G62" i="22" s="1"/>
  <c r="F26" i="22"/>
  <c r="F62" i="22" s="1"/>
  <c r="F67" i="22" s="1"/>
  <c r="E26" i="22"/>
  <c r="E55" i="22" s="1"/>
  <c r="D26" i="22"/>
  <c r="D55" i="22" s="1"/>
  <c r="D58" i="22" s="1"/>
  <c r="D59" i="22" s="1"/>
  <c r="C26" i="22"/>
  <c r="C28" i="22" s="1"/>
  <c r="J25" i="22"/>
  <c r="I25" i="22"/>
  <c r="H25" i="22"/>
  <c r="G25" i="22"/>
  <c r="F25" i="22"/>
  <c r="E25" i="22"/>
  <c r="N25" i="22" s="1"/>
  <c r="K25" i="22" s="1"/>
  <c r="D25" i="22"/>
  <c r="C25" i="22"/>
  <c r="N24" i="22"/>
  <c r="K24" i="22"/>
  <c r="AC49" i="22" s="1"/>
  <c r="N23" i="22"/>
  <c r="K23" i="22"/>
  <c r="N22" i="22"/>
  <c r="K22" i="22"/>
  <c r="N21" i="22"/>
  <c r="K21" i="22"/>
  <c r="N20" i="22"/>
  <c r="K20" i="22" s="1"/>
  <c r="N19" i="22"/>
  <c r="K19" i="22"/>
  <c r="N18" i="22"/>
  <c r="K18" i="22"/>
  <c r="N17" i="22"/>
  <c r="K17" i="22" s="1"/>
  <c r="N16" i="22"/>
  <c r="K16" i="22"/>
  <c r="N15" i="22"/>
  <c r="K15" i="22"/>
  <c r="N14" i="22"/>
  <c r="K14" i="22"/>
  <c r="N13" i="22"/>
  <c r="K13" i="22"/>
  <c r="N12" i="22"/>
  <c r="K12" i="22" s="1"/>
  <c r="N11" i="22"/>
  <c r="K11" i="22"/>
  <c r="K10" i="22"/>
  <c r="J10" i="22"/>
  <c r="I10" i="22"/>
  <c r="H10" i="22"/>
  <c r="G10" i="22"/>
  <c r="F10" i="22"/>
  <c r="E10" i="22"/>
  <c r="D10" i="22"/>
  <c r="C10" i="22"/>
  <c r="N5" i="22"/>
  <c r="K5" i="22"/>
  <c r="K4" i="22"/>
  <c r="L52" i="21"/>
  <c r="K52" i="21"/>
  <c r="J52" i="21"/>
  <c r="I52" i="21"/>
  <c r="H52" i="21"/>
  <c r="G52" i="21"/>
  <c r="F52" i="21"/>
  <c r="E52" i="21"/>
  <c r="O52" i="21" s="1"/>
  <c r="O53" i="21" s="1"/>
  <c r="D52" i="21"/>
  <c r="C52" i="21"/>
  <c r="K33" i="21"/>
  <c r="J33" i="21"/>
  <c r="H33" i="21"/>
  <c r="E33" i="21"/>
  <c r="C33" i="21"/>
  <c r="L31" i="21"/>
  <c r="L33" i="21" s="1"/>
  <c r="K31" i="21"/>
  <c r="J31" i="21"/>
  <c r="I31" i="21"/>
  <c r="I33" i="21" s="1"/>
  <c r="H31" i="21"/>
  <c r="G31" i="21"/>
  <c r="G33" i="21" s="1"/>
  <c r="F31" i="21"/>
  <c r="F33" i="21" s="1"/>
  <c r="E31" i="21"/>
  <c r="D31" i="21"/>
  <c r="D33" i="21" s="1"/>
  <c r="C31" i="21"/>
  <c r="O31" i="21" s="1"/>
  <c r="O29" i="21"/>
  <c r="O25" i="21"/>
  <c r="P29" i="21" s="1"/>
  <c r="Q29" i="21" s="1"/>
  <c r="O21" i="21"/>
  <c r="O17" i="21"/>
  <c r="O13" i="21"/>
  <c r="O10" i="21"/>
  <c r="L9" i="21"/>
  <c r="K9" i="21"/>
  <c r="J9" i="21"/>
  <c r="I9" i="21"/>
  <c r="H9" i="21"/>
  <c r="G9" i="21"/>
  <c r="O8" i="21"/>
  <c r="M9" i="21" s="1"/>
  <c r="O54" i="21" s="1"/>
  <c r="F9" i="19"/>
  <c r="B4" i="19"/>
  <c r="C28" i="18"/>
  <c r="C23" i="18"/>
  <c r="E22" i="18"/>
  <c r="E23" i="18" s="1"/>
  <c r="E21" i="18"/>
  <c r="Q20" i="18"/>
  <c r="Q21" i="18" s="1"/>
  <c r="Q22" i="18" s="1"/>
  <c r="Q23" i="18" s="1"/>
  <c r="O20" i="18"/>
  <c r="O21" i="18" s="1"/>
  <c r="O22" i="18" s="1"/>
  <c r="O23" i="18" s="1"/>
  <c r="K20" i="18"/>
  <c r="K21" i="18" s="1"/>
  <c r="K22" i="18" s="1"/>
  <c r="K23" i="18" s="1"/>
  <c r="I20" i="18"/>
  <c r="I21" i="18" s="1"/>
  <c r="I22" i="18" s="1"/>
  <c r="I23" i="18" s="1"/>
  <c r="G20" i="18"/>
  <c r="G21" i="18" s="1"/>
  <c r="G22" i="18" s="1"/>
  <c r="G23" i="18" s="1"/>
  <c r="C17" i="18"/>
  <c r="C16" i="18"/>
  <c r="C15" i="18"/>
  <c r="C14" i="18"/>
  <c r="C10" i="18"/>
  <c r="Q9" i="18"/>
  <c r="O9" i="18"/>
  <c r="M9" i="18"/>
  <c r="K9" i="18"/>
  <c r="I9" i="18"/>
  <c r="G9" i="18"/>
  <c r="E9" i="18"/>
  <c r="O8" i="18"/>
  <c r="Q7" i="18"/>
  <c r="O7" i="18"/>
  <c r="O6" i="18"/>
  <c r="O10" i="18" s="1"/>
  <c r="E6" i="18"/>
  <c r="E8" i="18" s="1"/>
  <c r="Q5" i="18"/>
  <c r="O5" i="18"/>
  <c r="Q6" i="18" s="1"/>
  <c r="M5" i="18"/>
  <c r="M7" i="18" s="1"/>
  <c r="K5" i="18"/>
  <c r="M6" i="18" s="1"/>
  <c r="I5" i="18"/>
  <c r="I7" i="18" s="1"/>
  <c r="G5" i="18"/>
  <c r="G7" i="18" s="1"/>
  <c r="E5" i="18"/>
  <c r="G6" i="18" s="1"/>
  <c r="L9" i="17"/>
  <c r="M7" i="17"/>
  <c r="L7" i="17"/>
  <c r="R7" i="17" s="1"/>
  <c r="C6" i="17"/>
  <c r="I5" i="17"/>
  <c r="T5" i="17"/>
  <c r="R5" i="17"/>
  <c r="I4" i="17"/>
  <c r="H4" i="17"/>
  <c r="I12" i="16"/>
  <c r="E12" i="16"/>
  <c r="M8" i="16"/>
  <c r="L8" i="16"/>
  <c r="K8" i="16"/>
  <c r="H8" i="16"/>
  <c r="H14" i="16" s="1"/>
  <c r="G8" i="16"/>
  <c r="G10" i="16" s="1"/>
  <c r="D8" i="16"/>
  <c r="D10" i="16" s="1"/>
  <c r="D14" i="16" s="1"/>
  <c r="C8" i="16"/>
  <c r="C10" i="16" s="1"/>
  <c r="M7" i="16"/>
  <c r="I7" i="16"/>
  <c r="E7" i="16"/>
  <c r="M6" i="16"/>
  <c r="I6" i="16"/>
  <c r="E6" i="16"/>
  <c r="M5" i="16"/>
  <c r="I5" i="16"/>
  <c r="E5" i="16"/>
  <c r="M4" i="16"/>
  <c r="I4" i="16"/>
  <c r="E4" i="16"/>
  <c r="M2" i="15"/>
  <c r="M4" i="15"/>
  <c r="M5" i="15"/>
  <c r="M76" i="15" s="1"/>
  <c r="G6" i="15"/>
  <c r="H6" i="15"/>
  <c r="I6" i="15"/>
  <c r="J6" i="15"/>
  <c r="K6" i="15"/>
  <c r="L6" i="15"/>
  <c r="N6" i="15"/>
  <c r="O6" i="15"/>
  <c r="M7" i="15"/>
  <c r="M8" i="15"/>
  <c r="G9" i="15"/>
  <c r="H9" i="15"/>
  <c r="I9" i="15"/>
  <c r="J9" i="15"/>
  <c r="K9" i="15"/>
  <c r="L9" i="15"/>
  <c r="N9" i="15"/>
  <c r="O9" i="15"/>
  <c r="M10" i="15"/>
  <c r="M11" i="15"/>
  <c r="G12" i="15"/>
  <c r="H12" i="15"/>
  <c r="I12" i="15"/>
  <c r="J12" i="15"/>
  <c r="K12" i="15"/>
  <c r="L12" i="15"/>
  <c r="N12" i="15"/>
  <c r="O12" i="15"/>
  <c r="M14" i="15"/>
  <c r="M15" i="15"/>
  <c r="M16" i="15"/>
  <c r="M17" i="15"/>
  <c r="M19" i="15"/>
  <c r="M20" i="15"/>
  <c r="M21" i="15"/>
  <c r="M22" i="15"/>
  <c r="M24" i="15"/>
  <c r="M25" i="15"/>
  <c r="M26" i="15"/>
  <c r="M29" i="15"/>
  <c r="M30" i="15" s="1"/>
  <c r="G30" i="15"/>
  <c r="G32" i="15" s="1"/>
  <c r="H30" i="15"/>
  <c r="H32" i="15" s="1"/>
  <c r="I30" i="15"/>
  <c r="I32" i="15" s="1"/>
  <c r="J30" i="15"/>
  <c r="J32" i="15" s="1"/>
  <c r="K30" i="15"/>
  <c r="L30" i="15"/>
  <c r="L32" i="15" s="1"/>
  <c r="N30" i="15"/>
  <c r="N32" i="15" s="1"/>
  <c r="O30" i="15"/>
  <c r="O32" i="15" s="1"/>
  <c r="G34" i="15"/>
  <c r="H34" i="15"/>
  <c r="I34" i="15"/>
  <c r="J34" i="15"/>
  <c r="K34" i="15"/>
  <c r="L34" i="15"/>
  <c r="N34" i="15"/>
  <c r="O34" i="15"/>
  <c r="Y34" i="15"/>
  <c r="G35" i="15"/>
  <c r="H35" i="15"/>
  <c r="I35" i="15"/>
  <c r="J35" i="15"/>
  <c r="K35" i="15"/>
  <c r="L35" i="15"/>
  <c r="N35" i="15"/>
  <c r="O35" i="15"/>
  <c r="Y35" i="15"/>
  <c r="G36" i="15"/>
  <c r="H36" i="15"/>
  <c r="I36" i="15"/>
  <c r="J36" i="15"/>
  <c r="K36" i="15"/>
  <c r="L36" i="15"/>
  <c r="N36" i="15"/>
  <c r="O36" i="15"/>
  <c r="Y36" i="15"/>
  <c r="G37" i="15"/>
  <c r="H37" i="15"/>
  <c r="I37" i="15"/>
  <c r="J37" i="15"/>
  <c r="K37" i="15"/>
  <c r="L37" i="15"/>
  <c r="N37" i="15"/>
  <c r="O37" i="15"/>
  <c r="Y37" i="15"/>
  <c r="G38" i="15"/>
  <c r="H38" i="15"/>
  <c r="I38" i="15"/>
  <c r="J38" i="15"/>
  <c r="K38" i="15"/>
  <c r="L38" i="15"/>
  <c r="N38" i="15"/>
  <c r="O38" i="15"/>
  <c r="Y38" i="15"/>
  <c r="G39" i="15"/>
  <c r="H39" i="15"/>
  <c r="I39" i="15"/>
  <c r="J39" i="15"/>
  <c r="K39" i="15"/>
  <c r="L39" i="15"/>
  <c r="N39" i="15"/>
  <c r="O39" i="15"/>
  <c r="Y39" i="15"/>
  <c r="G43" i="15"/>
  <c r="G44" i="15" s="1"/>
  <c r="H43" i="15"/>
  <c r="I43" i="15"/>
  <c r="J43" i="15"/>
  <c r="K43" i="15"/>
  <c r="L43" i="15"/>
  <c r="N43" i="15"/>
  <c r="O43" i="15"/>
  <c r="G64" i="15"/>
  <c r="N64" i="15" s="1"/>
  <c r="N65" i="15" s="1"/>
  <c r="G67" i="15"/>
  <c r="H67" i="15"/>
  <c r="I67" i="15"/>
  <c r="J67" i="15"/>
  <c r="K67" i="15"/>
  <c r="L67" i="15"/>
  <c r="N67" i="15"/>
  <c r="O67" i="15"/>
  <c r="M68" i="15"/>
  <c r="M69" i="15" s="1"/>
  <c r="G69" i="15"/>
  <c r="H69" i="15"/>
  <c r="I69" i="15"/>
  <c r="J69" i="15"/>
  <c r="K69" i="15"/>
  <c r="L69" i="15"/>
  <c r="N69" i="15"/>
  <c r="O69" i="15"/>
  <c r="G70" i="15"/>
  <c r="H70" i="15"/>
  <c r="I70" i="15"/>
  <c r="J70" i="15"/>
  <c r="K70" i="15" s="1"/>
  <c r="M70" i="15"/>
  <c r="N70" i="15"/>
  <c r="O70" i="15"/>
  <c r="G76" i="15"/>
  <c r="G78" i="15" s="1"/>
  <c r="H76" i="15"/>
  <c r="H78" i="15" s="1"/>
  <c r="I76" i="15"/>
  <c r="J76" i="15"/>
  <c r="J97" i="15" s="1"/>
  <c r="K76" i="15"/>
  <c r="L76" i="15"/>
  <c r="L78" i="15" s="1"/>
  <c r="N76" i="15"/>
  <c r="N78" i="15" s="1"/>
  <c r="O76" i="15"/>
  <c r="O78" i="15" s="1"/>
  <c r="G77" i="15"/>
  <c r="H77" i="15"/>
  <c r="J77" i="15"/>
  <c r="L77" i="15"/>
  <c r="N77" i="15"/>
  <c r="O77" i="15"/>
  <c r="G81" i="15"/>
  <c r="H81" i="15"/>
  <c r="H83" i="15" s="1"/>
  <c r="I81" i="15"/>
  <c r="J81" i="15"/>
  <c r="K81" i="15"/>
  <c r="L81" i="15"/>
  <c r="N81" i="15"/>
  <c r="O81" i="15"/>
  <c r="G89" i="15"/>
  <c r="G92" i="15" s="1"/>
  <c r="H89" i="15"/>
  <c r="I89" i="15"/>
  <c r="I92" i="15" s="1"/>
  <c r="J89" i="15"/>
  <c r="K89" i="15"/>
  <c r="K92" i="15" s="1"/>
  <c r="L89" i="15"/>
  <c r="N89" i="15"/>
  <c r="N92" i="15" s="1"/>
  <c r="O89" i="15"/>
  <c r="O92" i="15" s="1"/>
  <c r="E9" i="14"/>
  <c r="G9" i="14" s="1"/>
  <c r="G10" i="14" s="1"/>
  <c r="D9" i="14"/>
  <c r="F9" i="14" s="1"/>
  <c r="F10" i="14" s="1"/>
  <c r="E12" i="13"/>
  <c r="C10" i="13"/>
  <c r="L8" i="13"/>
  <c r="K8" i="13"/>
  <c r="H8" i="13"/>
  <c r="H14" i="13" s="1"/>
  <c r="G8" i="13"/>
  <c r="G14" i="13" s="1"/>
  <c r="D8" i="13"/>
  <c r="D14" i="13" s="1"/>
  <c r="C8" i="13"/>
  <c r="C14" i="13" s="1"/>
  <c r="M7" i="13"/>
  <c r="I7" i="13"/>
  <c r="E7" i="13"/>
  <c r="M6" i="13"/>
  <c r="I6" i="13"/>
  <c r="E6" i="13"/>
  <c r="M5" i="13"/>
  <c r="I5" i="13"/>
  <c r="E5" i="13"/>
  <c r="B5" i="13"/>
  <c r="B6" i="13" s="1"/>
  <c r="B7" i="13" s="1"/>
  <c r="M4" i="13"/>
  <c r="M8" i="13" s="1"/>
  <c r="I4" i="13"/>
  <c r="E4" i="13"/>
  <c r="F8" i="12"/>
  <c r="D7" i="12"/>
  <c r="D9" i="12" s="1"/>
  <c r="C9" i="12"/>
  <c r="F6" i="12"/>
  <c r="E6" i="12"/>
  <c r="F5" i="12"/>
  <c r="E5" i="12"/>
  <c r="F4" i="12"/>
  <c r="E4" i="12"/>
  <c r="F3" i="12"/>
  <c r="E3" i="12"/>
  <c r="D37" i="11"/>
  <c r="D36" i="11"/>
  <c r="D35" i="11"/>
  <c r="D34" i="11"/>
  <c r="L26" i="11"/>
  <c r="K26" i="11"/>
  <c r="I26" i="11"/>
  <c r="I30" i="11" s="1"/>
  <c r="H26" i="11"/>
  <c r="H29" i="11" s="1"/>
  <c r="F26" i="11"/>
  <c r="E26" i="11"/>
  <c r="D26" i="11"/>
  <c r="O25" i="11"/>
  <c r="N25" i="11"/>
  <c r="M25" i="11"/>
  <c r="J25" i="11"/>
  <c r="G25" i="11"/>
  <c r="O24" i="11"/>
  <c r="N24" i="11"/>
  <c r="M24" i="11"/>
  <c r="J24" i="11"/>
  <c r="G24" i="11"/>
  <c r="O23" i="11"/>
  <c r="N23" i="11"/>
  <c r="M23" i="11"/>
  <c r="J23" i="11"/>
  <c r="G23" i="11"/>
  <c r="O22" i="11"/>
  <c r="N22" i="11"/>
  <c r="M22" i="11"/>
  <c r="J22" i="11"/>
  <c r="G22" i="11"/>
  <c r="O21" i="11"/>
  <c r="N21" i="11"/>
  <c r="M21" i="11"/>
  <c r="J21" i="11"/>
  <c r="G21" i="11"/>
  <c r="O20" i="11"/>
  <c r="N20" i="11"/>
  <c r="M20" i="11"/>
  <c r="J20" i="11"/>
  <c r="G20" i="11"/>
  <c r="O19" i="11"/>
  <c r="N19" i="11"/>
  <c r="M19" i="11"/>
  <c r="J19" i="11"/>
  <c r="G19" i="11"/>
  <c r="O18" i="11"/>
  <c r="N18" i="11"/>
  <c r="M18" i="11"/>
  <c r="J18" i="11"/>
  <c r="G18" i="11"/>
  <c r="O17" i="11"/>
  <c r="N17" i="11"/>
  <c r="M17" i="11"/>
  <c r="J17" i="11"/>
  <c r="G17" i="11"/>
  <c r="O16" i="11"/>
  <c r="N16" i="11"/>
  <c r="M16" i="11"/>
  <c r="J16" i="11"/>
  <c r="G16" i="11"/>
  <c r="O15" i="11"/>
  <c r="N15" i="11"/>
  <c r="M15" i="11"/>
  <c r="J15" i="11"/>
  <c r="G15" i="11"/>
  <c r="O14" i="11"/>
  <c r="N14" i="11"/>
  <c r="M14" i="11"/>
  <c r="J14" i="11"/>
  <c r="G14" i="11"/>
  <c r="O13" i="11"/>
  <c r="N13" i="11"/>
  <c r="M13" i="11"/>
  <c r="J13" i="11"/>
  <c r="G13" i="11"/>
  <c r="O12" i="11"/>
  <c r="N12" i="11"/>
  <c r="M12" i="11"/>
  <c r="J12" i="11"/>
  <c r="G12" i="11"/>
  <c r="O11" i="11"/>
  <c r="N11" i="11"/>
  <c r="M11" i="11"/>
  <c r="J11" i="11"/>
  <c r="G11" i="11"/>
  <c r="O10" i="11"/>
  <c r="N10" i="11"/>
  <c r="P10" i="11" s="1"/>
  <c r="M10" i="11"/>
  <c r="J10" i="11"/>
  <c r="G10" i="11"/>
  <c r="O9" i="11"/>
  <c r="N9" i="11"/>
  <c r="M9" i="11"/>
  <c r="J9" i="11"/>
  <c r="G9" i="11"/>
  <c r="O8" i="11"/>
  <c r="N8" i="11"/>
  <c r="M8" i="11"/>
  <c r="J8" i="11"/>
  <c r="G8" i="11"/>
  <c r="O7" i="11"/>
  <c r="N7" i="11"/>
  <c r="M7" i="11"/>
  <c r="J7" i="11"/>
  <c r="G7" i="11"/>
  <c r="O6" i="11"/>
  <c r="N6" i="11"/>
  <c r="M6" i="11"/>
  <c r="J6" i="11"/>
  <c r="G6" i="11"/>
  <c r="O5" i="11"/>
  <c r="N5" i="11"/>
  <c r="M5" i="11"/>
  <c r="J5" i="11"/>
  <c r="G5" i="11"/>
  <c r="O4" i="11"/>
  <c r="N4" i="11"/>
  <c r="M4" i="11"/>
  <c r="J4" i="11"/>
  <c r="G4" i="11"/>
  <c r="D37" i="10"/>
  <c r="D36" i="10"/>
  <c r="D35" i="10"/>
  <c r="D34" i="10"/>
  <c r="W26" i="10"/>
  <c r="V26" i="10"/>
  <c r="U26" i="10"/>
  <c r="U29" i="10" s="1"/>
  <c r="S26" i="10"/>
  <c r="R26" i="10"/>
  <c r="Q26" i="10"/>
  <c r="L26" i="10"/>
  <c r="K26" i="10"/>
  <c r="I26" i="10"/>
  <c r="H26" i="10"/>
  <c r="F26" i="10"/>
  <c r="E26" i="10"/>
  <c r="E29" i="10" s="1"/>
  <c r="D26" i="10"/>
  <c r="X25" i="10"/>
  <c r="Z25" i="10" s="1"/>
  <c r="T25" i="10"/>
  <c r="O25" i="10"/>
  <c r="N25" i="10"/>
  <c r="M25" i="10"/>
  <c r="J25" i="10"/>
  <c r="G25" i="10"/>
  <c r="X24" i="10"/>
  <c r="Z24" i="10" s="1"/>
  <c r="T24" i="10"/>
  <c r="Y24" i="10" s="1"/>
  <c r="O24" i="10"/>
  <c r="N24" i="10"/>
  <c r="M24" i="10"/>
  <c r="J24" i="10"/>
  <c r="G24" i="10"/>
  <c r="X23" i="10"/>
  <c r="Z23" i="10" s="1"/>
  <c r="T23" i="10"/>
  <c r="Y23" i="10" s="1"/>
  <c r="O23" i="10"/>
  <c r="N23" i="10"/>
  <c r="M23" i="10"/>
  <c r="J23" i="10"/>
  <c r="G23" i="10"/>
  <c r="X22" i="10"/>
  <c r="Z22" i="10" s="1"/>
  <c r="T22" i="10"/>
  <c r="O22" i="10"/>
  <c r="N22" i="10"/>
  <c r="M22" i="10"/>
  <c r="J22" i="10"/>
  <c r="G22" i="10"/>
  <c r="X21" i="10"/>
  <c r="T21" i="10"/>
  <c r="Y21" i="10" s="1"/>
  <c r="O21" i="10"/>
  <c r="N21" i="10"/>
  <c r="M21" i="10"/>
  <c r="J21" i="10"/>
  <c r="G21" i="10"/>
  <c r="X20" i="10"/>
  <c r="Z20" i="10" s="1"/>
  <c r="T20" i="10"/>
  <c r="O20" i="10"/>
  <c r="N20" i="10"/>
  <c r="M20" i="10"/>
  <c r="J20" i="10"/>
  <c r="G20" i="10"/>
  <c r="X19" i="10"/>
  <c r="Z19" i="10" s="1"/>
  <c r="T19" i="10"/>
  <c r="O19" i="10"/>
  <c r="N19" i="10"/>
  <c r="M19" i="10"/>
  <c r="J19" i="10"/>
  <c r="G19" i="10"/>
  <c r="X18" i="10"/>
  <c r="Z18" i="10" s="1"/>
  <c r="T18" i="10"/>
  <c r="Y18" i="10" s="1"/>
  <c r="O18" i="10"/>
  <c r="N18" i="10"/>
  <c r="M18" i="10"/>
  <c r="J18" i="10"/>
  <c r="G18" i="10"/>
  <c r="X17" i="10"/>
  <c r="Z17" i="10" s="1"/>
  <c r="T17" i="10"/>
  <c r="O17" i="10"/>
  <c r="N17" i="10"/>
  <c r="M17" i="10"/>
  <c r="J17" i="10"/>
  <c r="G17" i="10"/>
  <c r="X16" i="10"/>
  <c r="Z16" i="10" s="1"/>
  <c r="T16" i="10"/>
  <c r="Y16" i="10" s="1"/>
  <c r="O16" i="10"/>
  <c r="N16" i="10"/>
  <c r="M16" i="10"/>
  <c r="J16" i="10"/>
  <c r="G16" i="10"/>
  <c r="X15" i="10"/>
  <c r="Z15" i="10" s="1"/>
  <c r="T15" i="10"/>
  <c r="Y15" i="10" s="1"/>
  <c r="O15" i="10"/>
  <c r="N15" i="10"/>
  <c r="M15" i="10"/>
  <c r="J15" i="10"/>
  <c r="G15" i="10"/>
  <c r="X14" i="10"/>
  <c r="Z14" i="10" s="1"/>
  <c r="T14" i="10"/>
  <c r="O14" i="10"/>
  <c r="N14" i="10"/>
  <c r="M14" i="10"/>
  <c r="J14" i="10"/>
  <c r="G14" i="10"/>
  <c r="X13" i="10"/>
  <c r="Z13" i="10" s="1"/>
  <c r="T13" i="10"/>
  <c r="Y13" i="10" s="1"/>
  <c r="O13" i="10"/>
  <c r="N13" i="10"/>
  <c r="M13" i="10"/>
  <c r="J13" i="10"/>
  <c r="G13" i="10"/>
  <c r="X12" i="10"/>
  <c r="Z12" i="10" s="1"/>
  <c r="T12" i="10"/>
  <c r="Y12" i="10" s="1"/>
  <c r="O12" i="10"/>
  <c r="N12" i="10"/>
  <c r="M12" i="10"/>
  <c r="J12" i="10"/>
  <c r="G12" i="10"/>
  <c r="X11" i="10"/>
  <c r="Z11" i="10" s="1"/>
  <c r="T11" i="10"/>
  <c r="Y11" i="10" s="1"/>
  <c r="O11" i="10"/>
  <c r="N11" i="10"/>
  <c r="M11" i="10"/>
  <c r="J11" i="10"/>
  <c r="G11" i="10"/>
  <c r="X10" i="10"/>
  <c r="Z10" i="10" s="1"/>
  <c r="T10" i="10"/>
  <c r="Y10" i="10" s="1"/>
  <c r="O10" i="10"/>
  <c r="N10" i="10"/>
  <c r="M10" i="10"/>
  <c r="J10" i="10"/>
  <c r="G10" i="10"/>
  <c r="X9" i="10"/>
  <c r="Z9" i="10" s="1"/>
  <c r="T9" i="10"/>
  <c r="O9" i="10"/>
  <c r="N9" i="10"/>
  <c r="P9" i="10" s="1"/>
  <c r="M9" i="10"/>
  <c r="J9" i="10"/>
  <c r="G9" i="10"/>
  <c r="X8" i="10"/>
  <c r="Z8" i="10" s="1"/>
  <c r="T8" i="10"/>
  <c r="O8" i="10"/>
  <c r="N8" i="10"/>
  <c r="M8" i="10"/>
  <c r="J8" i="10"/>
  <c r="G8" i="10"/>
  <c r="X7" i="10"/>
  <c r="T7" i="10"/>
  <c r="Y7" i="10" s="1"/>
  <c r="O7" i="10"/>
  <c r="N7" i="10"/>
  <c r="P7" i="10" s="1"/>
  <c r="M7" i="10"/>
  <c r="J7" i="10"/>
  <c r="G7" i="10"/>
  <c r="X6" i="10"/>
  <c r="Z6" i="10" s="1"/>
  <c r="T6" i="10"/>
  <c r="O6" i="10"/>
  <c r="N6" i="10"/>
  <c r="M6" i="10"/>
  <c r="J6" i="10"/>
  <c r="G6" i="10"/>
  <c r="X5" i="10"/>
  <c r="Z5" i="10" s="1"/>
  <c r="T5" i="10"/>
  <c r="O5" i="10"/>
  <c r="N5" i="10"/>
  <c r="M5" i="10"/>
  <c r="J5" i="10"/>
  <c r="G5" i="10"/>
  <c r="X4" i="10"/>
  <c r="Z4" i="10" s="1"/>
  <c r="T4" i="10"/>
  <c r="Y4" i="10" s="1"/>
  <c r="O4" i="10"/>
  <c r="N4" i="10"/>
  <c r="M4" i="10"/>
  <c r="J4" i="10"/>
  <c r="G4" i="10"/>
  <c r="L15" i="9"/>
  <c r="K15" i="9"/>
  <c r="J15" i="9"/>
  <c r="I15" i="9"/>
  <c r="H15" i="9"/>
  <c r="G15" i="9"/>
  <c r="F15" i="9"/>
  <c r="E15" i="9"/>
  <c r="E16" i="9" s="1"/>
  <c r="L8" i="9"/>
  <c r="L24" i="9" s="1"/>
  <c r="K8" i="9"/>
  <c r="K24" i="9" s="1"/>
  <c r="J8" i="9"/>
  <c r="J24" i="9" s="1"/>
  <c r="I8" i="9"/>
  <c r="I24" i="9" s="1"/>
  <c r="H8" i="9"/>
  <c r="H24" i="9" s="1"/>
  <c r="G8" i="9"/>
  <c r="G24" i="9" s="1"/>
  <c r="F8" i="9"/>
  <c r="F12" i="9" s="1"/>
  <c r="E8" i="9"/>
  <c r="E24" i="9" s="1"/>
  <c r="J19" i="8"/>
  <c r="I19" i="8"/>
  <c r="G19" i="8"/>
  <c r="F19" i="8"/>
  <c r="E19" i="8"/>
  <c r="J18" i="8"/>
  <c r="I18" i="8"/>
  <c r="G18" i="8"/>
  <c r="F18" i="8"/>
  <c r="E18" i="8"/>
  <c r="K17" i="8"/>
  <c r="K16" i="8"/>
  <c r="K15" i="8"/>
  <c r="K14" i="8"/>
  <c r="K13" i="8"/>
  <c r="H12" i="8"/>
  <c r="K12" i="8" s="1"/>
  <c r="H11" i="8"/>
  <c r="K11" i="8" s="1"/>
  <c r="K10" i="8"/>
  <c r="K9" i="8"/>
  <c r="K8" i="8"/>
  <c r="H7" i="8"/>
  <c r="K7" i="8" s="1"/>
  <c r="H6" i="8"/>
  <c r="K6" i="8" s="1"/>
  <c r="H5" i="8"/>
  <c r="K5" i="8" s="1"/>
  <c r="H4" i="8"/>
  <c r="K4" i="8" s="1"/>
  <c r="R8" i="7"/>
  <c r="Q8" i="7"/>
  <c r="O8" i="7"/>
  <c r="R7" i="7"/>
  <c r="Q7" i="7"/>
  <c r="P7" i="7" s="1"/>
  <c r="P6" i="7"/>
  <c r="P10" i="7" s="1"/>
  <c r="R4" i="7"/>
  <c r="Q4" i="7"/>
  <c r="O4" i="7"/>
  <c r="R3" i="7"/>
  <c r="Q3" i="7"/>
  <c r="O3" i="7"/>
  <c r="C12" i="6"/>
  <c r="E12" i="6" s="1"/>
  <c r="D10" i="6"/>
  <c r="G10" i="6" s="1"/>
  <c r="D5" i="6"/>
  <c r="G5" i="6" s="1"/>
  <c r="C5" i="6"/>
  <c r="C15" i="3"/>
  <c r="P5" i="11" l="1"/>
  <c r="Q28" i="11"/>
  <c r="R28" i="11"/>
  <c r="V28" i="11"/>
  <c r="W28" i="11"/>
  <c r="U28" i="11"/>
  <c r="S28" i="11"/>
  <c r="X28" i="11"/>
  <c r="Z28" i="11"/>
  <c r="T28" i="11"/>
  <c r="Y28" i="11"/>
  <c r="AA28" i="11"/>
  <c r="R29" i="11"/>
  <c r="W29" i="11"/>
  <c r="S29" i="11"/>
  <c r="Q29" i="11"/>
  <c r="V29" i="11"/>
  <c r="U29" i="11"/>
  <c r="Z29" i="11"/>
  <c r="T29" i="11"/>
  <c r="Y29" i="11"/>
  <c r="X29" i="11"/>
  <c r="AA29" i="11"/>
  <c r="S30" i="11"/>
  <c r="V30" i="11"/>
  <c r="R30" i="11"/>
  <c r="W30" i="11"/>
  <c r="Q30" i="11"/>
  <c r="U30" i="11"/>
  <c r="Z30" i="11"/>
  <c r="Y30" i="11"/>
  <c r="T30" i="11"/>
  <c r="X30" i="11"/>
  <c r="AA30" i="11"/>
  <c r="R31" i="11"/>
  <c r="V31" i="11"/>
  <c r="W31" i="11"/>
  <c r="S31" i="11"/>
  <c r="Q31" i="11"/>
  <c r="U31" i="11"/>
  <c r="T31" i="11"/>
  <c r="Y31" i="11"/>
  <c r="X31" i="11"/>
  <c r="Z31" i="11"/>
  <c r="AA31" i="11"/>
  <c r="P4" i="7"/>
  <c r="E13" i="2"/>
  <c r="P3" i="7"/>
  <c r="G13" i="2"/>
  <c r="AA20" i="10"/>
  <c r="P12" i="11"/>
  <c r="P24" i="11"/>
  <c r="Q23" i="25"/>
  <c r="R23" i="25"/>
  <c r="C10" i="19"/>
  <c r="D8" i="19"/>
  <c r="G4" i="19"/>
  <c r="G5" i="19"/>
  <c r="G7" i="19"/>
  <c r="G8" i="19"/>
  <c r="D6" i="19"/>
  <c r="D7" i="19"/>
  <c r="D4" i="19"/>
  <c r="D3" i="19"/>
  <c r="D9" i="19" s="1"/>
  <c r="G6" i="19"/>
  <c r="G3" i="19"/>
  <c r="C9" i="19"/>
  <c r="D7" i="17"/>
  <c r="F7" i="12"/>
  <c r="F9" i="12" s="1"/>
  <c r="P22" i="11"/>
  <c r="P23" i="11"/>
  <c r="P25" i="10"/>
  <c r="P5" i="10"/>
  <c r="E5" i="6"/>
  <c r="O15" i="3"/>
  <c r="D13" i="3"/>
  <c r="D5" i="3"/>
  <c r="D6" i="3"/>
  <c r="D7" i="3"/>
  <c r="D8" i="3"/>
  <c r="D9" i="3"/>
  <c r="D10" i="3"/>
  <c r="D11" i="3"/>
  <c r="D12" i="3"/>
  <c r="D13" i="2"/>
  <c r="P6" i="11"/>
  <c r="P8" i="11"/>
  <c r="P9" i="11"/>
  <c r="P17" i="11"/>
  <c r="P25" i="11"/>
  <c r="K31" i="11"/>
  <c r="P4" i="11"/>
  <c r="P6" i="10"/>
  <c r="AA8" i="10"/>
  <c r="P14" i="10"/>
  <c r="AA5" i="10"/>
  <c r="P20" i="10"/>
  <c r="S28" i="10"/>
  <c r="P8" i="7"/>
  <c r="E10" i="6"/>
  <c r="P20" i="11"/>
  <c r="P7" i="11"/>
  <c r="P15" i="11"/>
  <c r="P11" i="11"/>
  <c r="J78" i="15"/>
  <c r="H88" i="15"/>
  <c r="AA6" i="10"/>
  <c r="P8" i="10"/>
  <c r="AA7" i="10"/>
  <c r="Q30" i="10"/>
  <c r="R31" i="10"/>
  <c r="Y8" i="10"/>
  <c r="AA4" i="10"/>
  <c r="W28" i="10"/>
  <c r="Z7" i="10"/>
  <c r="H29" i="10"/>
  <c r="AA17" i="10"/>
  <c r="K28" i="10"/>
  <c r="I30" i="10"/>
  <c r="Y6" i="10"/>
  <c r="L31" i="10"/>
  <c r="M67" i="15"/>
  <c r="G13" i="15"/>
  <c r="G99" i="15" s="1"/>
  <c r="M9" i="15"/>
  <c r="L13" i="15"/>
  <c r="L99" i="15" s="1"/>
  <c r="H97" i="15"/>
  <c r="L82" i="15"/>
  <c r="G91" i="15"/>
  <c r="G93" i="15" s="1"/>
  <c r="H90" i="15"/>
  <c r="J91" i="15"/>
  <c r="J82" i="15"/>
  <c r="H91" i="15"/>
  <c r="I82" i="15"/>
  <c r="N13" i="15"/>
  <c r="N99" i="15" s="1"/>
  <c r="J88" i="15"/>
  <c r="M12" i="15"/>
  <c r="O82" i="15"/>
  <c r="G97" i="15"/>
  <c r="O83" i="15"/>
  <c r="M64" i="15"/>
  <c r="M65" i="15" s="1"/>
  <c r="L91" i="15"/>
  <c r="I64" i="15"/>
  <c r="I65" i="15" s="1"/>
  <c r="L70" i="15"/>
  <c r="H64" i="15"/>
  <c r="H65" i="15" s="1"/>
  <c r="O13" i="15"/>
  <c r="O99" i="15" s="1"/>
  <c r="H40" i="15"/>
  <c r="H42" i="15" s="1"/>
  <c r="H44" i="15" s="1"/>
  <c r="N97" i="15"/>
  <c r="K40" i="15"/>
  <c r="K96" i="15" s="1"/>
  <c r="I13" i="15"/>
  <c r="K82" i="15"/>
  <c r="J64" i="15"/>
  <c r="J65" i="15" s="1"/>
  <c r="J13" i="15"/>
  <c r="J18" i="15" s="1"/>
  <c r="H13" i="15"/>
  <c r="H99" i="15" s="1"/>
  <c r="J92" i="15"/>
  <c r="N88" i="15"/>
  <c r="N90" i="15"/>
  <c r="K90" i="15"/>
  <c r="H82" i="15"/>
  <c r="H84" i="15" s="1"/>
  <c r="M36" i="15"/>
  <c r="O97" i="15"/>
  <c r="N82" i="15"/>
  <c r="L92" i="15"/>
  <c r="N83" i="15"/>
  <c r="M34" i="15"/>
  <c r="K83" i="15"/>
  <c r="Y40" i="15"/>
  <c r="N40" i="15"/>
  <c r="N87" i="15" s="1"/>
  <c r="I40" i="15"/>
  <c r="I42" i="15" s="1"/>
  <c r="I44" i="15" s="1"/>
  <c r="N91" i="15"/>
  <c r="N93" i="15" s="1"/>
  <c r="M37" i="15"/>
  <c r="O40" i="15"/>
  <c r="O87" i="15" s="1"/>
  <c r="L40" i="15"/>
  <c r="L87" i="15" s="1"/>
  <c r="J83" i="15"/>
  <c r="G82" i="15"/>
  <c r="O91" i="15"/>
  <c r="O93" i="15" s="1"/>
  <c r="G83" i="15"/>
  <c r="M39" i="15"/>
  <c r="M38" i="15"/>
  <c r="M35" i="15"/>
  <c r="G40" i="15"/>
  <c r="G96" i="15" s="1"/>
  <c r="K91" i="15"/>
  <c r="K93" i="15" s="1"/>
  <c r="I90" i="15"/>
  <c r="G65" i="15"/>
  <c r="O64" i="15"/>
  <c r="O65" i="15" s="1"/>
  <c r="K13" i="15"/>
  <c r="I91" i="15"/>
  <c r="I93" i="15" s="1"/>
  <c r="J19" i="27"/>
  <c r="J20" i="27"/>
  <c r="Q7" i="17"/>
  <c r="P7" i="17"/>
  <c r="E7" i="17"/>
  <c r="I8" i="16"/>
  <c r="E8" i="16"/>
  <c r="I8" i="13"/>
  <c r="I14" i="13" s="1"/>
  <c r="G10" i="13"/>
  <c r="E8" i="13"/>
  <c r="E14" i="13" s="1"/>
  <c r="P17" i="10"/>
  <c r="AA19" i="10"/>
  <c r="P13" i="10"/>
  <c r="I28" i="10"/>
  <c r="AA14" i="10"/>
  <c r="Q28" i="10"/>
  <c r="S30" i="10"/>
  <c r="AA21" i="10"/>
  <c r="M26" i="10"/>
  <c r="M29" i="10" s="1"/>
  <c r="P23" i="10"/>
  <c r="P12" i="10"/>
  <c r="K31" i="10"/>
  <c r="Z21" i="10"/>
  <c r="K30" i="10"/>
  <c r="P21" i="10"/>
  <c r="P22" i="10"/>
  <c r="P16" i="10"/>
  <c r="P16" i="11"/>
  <c r="P19" i="11"/>
  <c r="P21" i="11"/>
  <c r="I29" i="11"/>
  <c r="P14" i="11"/>
  <c r="P13" i="11"/>
  <c r="P18" i="11"/>
  <c r="M26" i="11"/>
  <c r="M28" i="11" s="1"/>
  <c r="J26" i="11"/>
  <c r="J31" i="11" s="1"/>
  <c r="O26" i="11"/>
  <c r="O30" i="11" s="1"/>
  <c r="G26" i="11"/>
  <c r="G29" i="11" s="1"/>
  <c r="H28" i="11"/>
  <c r="G26" i="10"/>
  <c r="G28" i="10" s="1"/>
  <c r="J26" i="10"/>
  <c r="J28" i="10" s="1"/>
  <c r="AA10" i="10"/>
  <c r="AA15" i="10"/>
  <c r="AA16" i="10"/>
  <c r="P18" i="10"/>
  <c r="P19" i="10"/>
  <c r="L28" i="10"/>
  <c r="R30" i="10"/>
  <c r="O26" i="10"/>
  <c r="O31" i="10" s="1"/>
  <c r="AA13" i="10"/>
  <c r="P24" i="10"/>
  <c r="I29" i="10"/>
  <c r="P10" i="10"/>
  <c r="P11" i="10"/>
  <c r="AA18" i="10"/>
  <c r="Y19" i="10"/>
  <c r="Y20" i="10"/>
  <c r="AA23" i="10"/>
  <c r="AA24" i="10"/>
  <c r="Q29" i="10"/>
  <c r="S31" i="10"/>
  <c r="AA22" i="10"/>
  <c r="R29" i="10"/>
  <c r="N26" i="10"/>
  <c r="N31" i="10" s="1"/>
  <c r="AA9" i="10"/>
  <c r="AA11" i="10"/>
  <c r="AA12" i="10"/>
  <c r="P15" i="10"/>
  <c r="AA25" i="10"/>
  <c r="H28" i="10"/>
  <c r="H5" i="17"/>
  <c r="G6" i="17"/>
  <c r="F7" i="17" s="1"/>
  <c r="N7" i="17"/>
  <c r="O7" i="17"/>
  <c r="K17" i="26"/>
  <c r="J17" i="26"/>
  <c r="D35" i="26"/>
  <c r="K21" i="26"/>
  <c r="K27" i="26" s="1"/>
  <c r="J21" i="26"/>
  <c r="J27" i="26" s="1"/>
  <c r="I27" i="26"/>
  <c r="E27" i="26"/>
  <c r="E11" i="26"/>
  <c r="E10" i="26"/>
  <c r="E31" i="26"/>
  <c r="E23" i="26"/>
  <c r="E15" i="26"/>
  <c r="E25" i="26"/>
  <c r="E17" i="26"/>
  <c r="E26" i="26"/>
  <c r="E35" i="26"/>
  <c r="E30" i="26"/>
  <c r="E14" i="26"/>
  <c r="E32" i="26"/>
  <c r="E24" i="26"/>
  <c r="E16" i="26"/>
  <c r="E21" i="26"/>
  <c r="E22" i="26"/>
  <c r="E18" i="26"/>
  <c r="H35" i="26"/>
  <c r="K25" i="26"/>
  <c r="J25" i="26"/>
  <c r="H39" i="26"/>
  <c r="I10" i="26"/>
  <c r="J15" i="26"/>
  <c r="J23" i="26"/>
  <c r="J31" i="26"/>
  <c r="J14" i="26"/>
  <c r="J18" i="26" s="1"/>
  <c r="J22" i="26"/>
  <c r="J26" i="26"/>
  <c r="J30" i="26"/>
  <c r="J33" i="26" s="1"/>
  <c r="E33" i="26"/>
  <c r="IW10" i="26"/>
  <c r="K14" i="26"/>
  <c r="K18" i="26" s="1"/>
  <c r="K30" i="26"/>
  <c r="K33" i="26" s="1"/>
  <c r="R27" i="25"/>
  <c r="C35" i="24"/>
  <c r="C36" i="24" s="1"/>
  <c r="H29" i="24"/>
  <c r="H35" i="24" s="1"/>
  <c r="J35" i="24" s="1"/>
  <c r="E36" i="24"/>
  <c r="F36" i="24"/>
  <c r="H36" i="24"/>
  <c r="G36" i="24"/>
  <c r="H58" i="22"/>
  <c r="H59" i="22" s="1"/>
  <c r="L21" i="22"/>
  <c r="K45" i="22"/>
  <c r="K66" i="22"/>
  <c r="L27" i="22"/>
  <c r="K54" i="22"/>
  <c r="K61" i="22"/>
  <c r="I58" i="22"/>
  <c r="I59" i="22" s="1"/>
  <c r="K26" i="22"/>
  <c r="L16" i="22" s="1"/>
  <c r="X41" i="22"/>
  <c r="W42" i="22"/>
  <c r="N49" i="22"/>
  <c r="J58" i="22"/>
  <c r="J59" i="22" s="1"/>
  <c r="L17" i="22"/>
  <c r="L25" i="22"/>
  <c r="E56" i="22"/>
  <c r="E57" i="22" s="1"/>
  <c r="E58" i="22"/>
  <c r="E59" i="22" s="1"/>
  <c r="O30" i="22"/>
  <c r="N43" i="22"/>
  <c r="K43" i="22" s="1"/>
  <c r="C50" i="22"/>
  <c r="N50" i="22" s="1"/>
  <c r="L18" i="22"/>
  <c r="O34" i="22"/>
  <c r="L34" i="22"/>
  <c r="D56" i="22"/>
  <c r="D57" i="22" s="1"/>
  <c r="L23" i="22"/>
  <c r="G63" i="22"/>
  <c r="G64" i="22" s="1"/>
  <c r="G67" i="22"/>
  <c r="L31" i="22"/>
  <c r="O31" i="22"/>
  <c r="N42" i="22"/>
  <c r="K42" i="22" s="1"/>
  <c r="L42" i="22" s="1"/>
  <c r="C46" i="22"/>
  <c r="G56" i="22"/>
  <c r="G57" i="22" s="1"/>
  <c r="J62" i="22"/>
  <c r="J67" i="22" s="1"/>
  <c r="N45" i="22"/>
  <c r="N26" i="22"/>
  <c r="C32" i="22"/>
  <c r="U42" i="22"/>
  <c r="H56" i="22"/>
  <c r="H57" i="22" s="1"/>
  <c r="C62" i="22"/>
  <c r="C67" i="22" s="1"/>
  <c r="L24" i="22"/>
  <c r="L30" i="22"/>
  <c r="V42" i="22"/>
  <c r="I56" i="22"/>
  <c r="I57" i="22" s="1"/>
  <c r="D62" i="22"/>
  <c r="D67" i="22" s="1"/>
  <c r="H67" i="22"/>
  <c r="C55" i="22"/>
  <c r="C58" i="22" s="1"/>
  <c r="C59" i="22" s="1"/>
  <c r="J56" i="22"/>
  <c r="J57" i="22" s="1"/>
  <c r="E62" i="22"/>
  <c r="E67" i="22" s="1"/>
  <c r="Z49" i="22"/>
  <c r="O33" i="21"/>
  <c r="O32" i="21" s="1"/>
  <c r="C9" i="21"/>
  <c r="E9" i="21"/>
  <c r="D9" i="21"/>
  <c r="G8" i="18"/>
  <c r="G10" i="18"/>
  <c r="M8" i="18"/>
  <c r="M10" i="18"/>
  <c r="Q10" i="18"/>
  <c r="Q8" i="18"/>
  <c r="I6" i="18"/>
  <c r="K7" i="18"/>
  <c r="K6" i="18"/>
  <c r="E10" i="18"/>
  <c r="E7" i="18"/>
  <c r="N5" i="17"/>
  <c r="O5" i="17"/>
  <c r="P5" i="17"/>
  <c r="Q5" i="17"/>
  <c r="M10" i="17"/>
  <c r="M11" i="17" s="1"/>
  <c r="E10" i="16"/>
  <c r="E14" i="16" s="1"/>
  <c r="C14" i="16"/>
  <c r="G14" i="16"/>
  <c r="H10" i="16"/>
  <c r="I10" i="16" s="1"/>
  <c r="I14" i="16" s="1"/>
  <c r="M78" i="15"/>
  <c r="M88" i="15"/>
  <c r="M97" i="15"/>
  <c r="M90" i="15"/>
  <c r="O90" i="15"/>
  <c r="G90" i="15"/>
  <c r="O88" i="15"/>
  <c r="G88" i="15"/>
  <c r="L83" i="15"/>
  <c r="J40" i="15"/>
  <c r="L90" i="15"/>
  <c r="M89" i="15"/>
  <c r="M92" i="15" s="1"/>
  <c r="M81" i="15"/>
  <c r="M43" i="15"/>
  <c r="L97" i="15"/>
  <c r="H92" i="15"/>
  <c r="J90" i="15"/>
  <c r="L88" i="15"/>
  <c r="I83" i="15"/>
  <c r="M77" i="15"/>
  <c r="M6" i="15"/>
  <c r="D10" i="14"/>
  <c r="E10" i="14"/>
  <c r="D10" i="13"/>
  <c r="E10" i="13" s="1"/>
  <c r="H10" i="13"/>
  <c r="I10" i="13" s="1"/>
  <c r="E7" i="12"/>
  <c r="N26" i="11"/>
  <c r="I28" i="11"/>
  <c r="K30" i="11"/>
  <c r="L31" i="11"/>
  <c r="K29" i="11"/>
  <c r="L30" i="11"/>
  <c r="E31" i="11"/>
  <c r="K28" i="11"/>
  <c r="L29" i="11"/>
  <c r="E30" i="11"/>
  <c r="F31" i="11"/>
  <c r="L28" i="11"/>
  <c r="E29" i="11"/>
  <c r="F30" i="11"/>
  <c r="E28" i="11"/>
  <c r="F29" i="11"/>
  <c r="H31" i="11"/>
  <c r="F28" i="11"/>
  <c r="H30" i="11"/>
  <c r="I31" i="11"/>
  <c r="P4" i="10"/>
  <c r="Y14" i="10"/>
  <c r="Y22" i="10"/>
  <c r="X26" i="10"/>
  <c r="R28" i="10"/>
  <c r="K29" i="10"/>
  <c r="S29" i="10"/>
  <c r="L30" i="10"/>
  <c r="E31" i="10"/>
  <c r="U31" i="10"/>
  <c r="Y5" i="10"/>
  <c r="Y9" i="10"/>
  <c r="Y17" i="10"/>
  <c r="Y25" i="10"/>
  <c r="L29" i="10"/>
  <c r="E30" i="10"/>
  <c r="U30" i="10"/>
  <c r="F31" i="10"/>
  <c r="V31" i="10"/>
  <c r="F30" i="10"/>
  <c r="V30" i="10"/>
  <c r="W31" i="10"/>
  <c r="E28" i="10"/>
  <c r="U28" i="10"/>
  <c r="F29" i="10"/>
  <c r="V29" i="10"/>
  <c r="W30" i="10"/>
  <c r="H31" i="10"/>
  <c r="T26" i="10"/>
  <c r="F28" i="10"/>
  <c r="V28" i="10"/>
  <c r="W29" i="10"/>
  <c r="H30" i="10"/>
  <c r="I31" i="10"/>
  <c r="Q31" i="10"/>
  <c r="F23" i="9"/>
  <c r="F17" i="9"/>
  <c r="F27" i="9" s="1"/>
  <c r="F19" i="9"/>
  <c r="F21" i="9" s="1"/>
  <c r="F22" i="9"/>
  <c r="F16" i="9"/>
  <c r="F24" i="9"/>
  <c r="G16" i="9"/>
  <c r="H12" i="9"/>
  <c r="H16" i="9"/>
  <c r="H18" i="9"/>
  <c r="E12" i="9"/>
  <c r="E18" i="9"/>
  <c r="F18" i="9"/>
  <c r="I12" i="9"/>
  <c r="I16" i="9"/>
  <c r="I18" i="9"/>
  <c r="J12" i="9"/>
  <c r="J16" i="9"/>
  <c r="J18" i="9"/>
  <c r="G18" i="9"/>
  <c r="K12" i="9"/>
  <c r="K16" i="9"/>
  <c r="K18" i="9"/>
  <c r="G12" i="9"/>
  <c r="L12" i="9"/>
  <c r="L16" i="9"/>
  <c r="L18" i="9"/>
  <c r="K19" i="8"/>
  <c r="K25" i="8"/>
  <c r="K18" i="8"/>
  <c r="H19" i="8"/>
  <c r="H18" i="8"/>
  <c r="D3" i="3"/>
  <c r="D4" i="3"/>
  <c r="D14" i="3"/>
  <c r="D5" i="19" l="1"/>
  <c r="L18" i="15"/>
  <c r="F26" i="9"/>
  <c r="I99" i="15"/>
  <c r="I77" i="15"/>
  <c r="I78" i="15" s="1"/>
  <c r="K99" i="15"/>
  <c r="K77" i="15"/>
  <c r="K78" i="15" s="1"/>
  <c r="P26" i="11"/>
  <c r="G27" i="11" s="1"/>
  <c r="G9" i="19"/>
  <c r="G7" i="17"/>
  <c r="H6" i="17"/>
  <c r="I6" i="17"/>
  <c r="G30" i="10"/>
  <c r="J28" i="11"/>
  <c r="J30" i="11"/>
  <c r="O29" i="11"/>
  <c r="J29" i="11"/>
  <c r="Z26" i="10"/>
  <c r="Z31" i="10" s="1"/>
  <c r="M28" i="10"/>
  <c r="G31" i="11"/>
  <c r="G30" i="11"/>
  <c r="J31" i="10"/>
  <c r="G29" i="10"/>
  <c r="N30" i="10"/>
  <c r="J99" i="15"/>
  <c r="L84" i="15"/>
  <c r="L85" i="15" s="1"/>
  <c r="G18" i="15"/>
  <c r="G94" i="15" s="1"/>
  <c r="N18" i="15"/>
  <c r="N23" i="15" s="1"/>
  <c r="J84" i="15"/>
  <c r="J85" i="15" s="1"/>
  <c r="J93" i="15"/>
  <c r="J94" i="15" s="1"/>
  <c r="H93" i="15"/>
  <c r="M13" i="15"/>
  <c r="M99" i="15" s="1"/>
  <c r="N84" i="15"/>
  <c r="H87" i="15"/>
  <c r="O84" i="15"/>
  <c r="L96" i="15"/>
  <c r="H96" i="15"/>
  <c r="L42" i="15"/>
  <c r="L44" i="15" s="1"/>
  <c r="I84" i="15"/>
  <c r="H18" i="15"/>
  <c r="H85" i="15" s="1"/>
  <c r="O18" i="15"/>
  <c r="O23" i="15" s="1"/>
  <c r="I87" i="15"/>
  <c r="K87" i="15"/>
  <c r="K84" i="15"/>
  <c r="N96" i="15"/>
  <c r="L93" i="15"/>
  <c r="L94" i="15" s="1"/>
  <c r="M40" i="15"/>
  <c r="M87" i="15" s="1"/>
  <c r="N42" i="15"/>
  <c r="N44" i="15" s="1"/>
  <c r="I18" i="15"/>
  <c r="K42" i="15"/>
  <c r="K44" i="15" s="1"/>
  <c r="G84" i="15"/>
  <c r="K18" i="15"/>
  <c r="K23" i="15" s="1"/>
  <c r="G42" i="15"/>
  <c r="G87" i="15"/>
  <c r="O96" i="15"/>
  <c r="J100" i="15"/>
  <c r="J23" i="15"/>
  <c r="O42" i="15"/>
  <c r="O44" i="15" s="1"/>
  <c r="I96" i="15"/>
  <c r="D15" i="3"/>
  <c r="N29" i="10"/>
  <c r="O30" i="10"/>
  <c r="N28" i="10"/>
  <c r="O29" i="10"/>
  <c r="O28" i="10"/>
  <c r="J30" i="10"/>
  <c r="G31" i="10"/>
  <c r="J29" i="10"/>
  <c r="M31" i="10"/>
  <c r="M30" i="10"/>
  <c r="P26" i="10"/>
  <c r="J27" i="10" s="1"/>
  <c r="AA26" i="10"/>
  <c r="AA27" i="10" s="1"/>
  <c r="M31" i="11"/>
  <c r="M30" i="11"/>
  <c r="M29" i="11"/>
  <c r="G28" i="11"/>
  <c r="O28" i="11"/>
  <c r="O31" i="11"/>
  <c r="Y26" i="10"/>
  <c r="Y30" i="10" s="1"/>
  <c r="M9" i="17"/>
  <c r="N9" i="17" s="1"/>
  <c r="J10" i="26"/>
  <c r="J11" i="26" s="1"/>
  <c r="I11" i="26"/>
  <c r="I35" i="26" s="1"/>
  <c r="H37" i="26" s="1"/>
  <c r="K10" i="26"/>
  <c r="K11" i="26" s="1"/>
  <c r="J35" i="26"/>
  <c r="K35" i="26"/>
  <c r="H38" i="26" s="1"/>
  <c r="C47" i="22"/>
  <c r="N47" i="22" s="1"/>
  <c r="N46" i="22"/>
  <c r="C56" i="22"/>
  <c r="C57" i="22" s="1"/>
  <c r="L22" i="22"/>
  <c r="X42" i="22"/>
  <c r="Y41" i="22"/>
  <c r="K56" i="22"/>
  <c r="K57" i="22" s="1"/>
  <c r="K55" i="22"/>
  <c r="K58" i="22" s="1"/>
  <c r="K59" i="22" s="1"/>
  <c r="K62" i="22"/>
  <c r="K67" i="22" s="1"/>
  <c r="K46" i="22"/>
  <c r="L26" i="22"/>
  <c r="D63" i="22"/>
  <c r="D64" i="22" s="1"/>
  <c r="L14" i="22"/>
  <c r="L13" i="22"/>
  <c r="L12" i="22"/>
  <c r="L20" i="22"/>
  <c r="C33" i="22"/>
  <c r="N32" i="22"/>
  <c r="C38" i="22"/>
  <c r="L19" i="22"/>
  <c r="J63" i="22"/>
  <c r="J64" i="22" s="1"/>
  <c r="L43" i="22"/>
  <c r="T40" i="22"/>
  <c r="U43" i="22" s="1"/>
  <c r="K50" i="22"/>
  <c r="P43" i="22"/>
  <c r="P44" i="22"/>
  <c r="L11" i="22"/>
  <c r="C63" i="22"/>
  <c r="C64" i="22" s="1"/>
  <c r="K28" i="22"/>
  <c r="E63" i="22"/>
  <c r="E64" i="22" s="1"/>
  <c r="C51" i="22"/>
  <c r="N51" i="22" s="1"/>
  <c r="K63" i="22"/>
  <c r="K64" i="22" s="1"/>
  <c r="K32" i="22"/>
  <c r="K49" i="22"/>
  <c r="K51" i="22" s="1"/>
  <c r="K47" i="22"/>
  <c r="L15" i="22"/>
  <c r="O9" i="21"/>
  <c r="I8" i="18"/>
  <c r="I10" i="18"/>
  <c r="K10" i="18"/>
  <c r="K8" i="18"/>
  <c r="I7" i="17"/>
  <c r="H7" i="17"/>
  <c r="M83" i="15"/>
  <c r="M82" i="15"/>
  <c r="L23" i="15"/>
  <c r="L100" i="15"/>
  <c r="J96" i="15"/>
  <c r="J87" i="15"/>
  <c r="J42" i="15"/>
  <c r="J44" i="15" s="1"/>
  <c r="M91" i="15"/>
  <c r="M93" i="15" s="1"/>
  <c r="N28" i="11"/>
  <c r="N29" i="11"/>
  <c r="N30" i="11"/>
  <c r="N31" i="11"/>
  <c r="X29" i="10"/>
  <c r="X28" i="10"/>
  <c r="X30" i="10"/>
  <c r="X31" i="10"/>
  <c r="T31" i="10"/>
  <c r="T28" i="10"/>
  <c r="T29" i="10"/>
  <c r="T30" i="10"/>
  <c r="L23" i="9"/>
  <c r="L22" i="9"/>
  <c r="L19" i="9"/>
  <c r="L17" i="9"/>
  <c r="J23" i="9"/>
  <c r="J22" i="9"/>
  <c r="J19" i="9"/>
  <c r="J17" i="9"/>
  <c r="E22" i="9"/>
  <c r="E17" i="9"/>
  <c r="F29" i="9" s="1"/>
  <c r="F34" i="9" s="1"/>
  <c r="E23" i="9"/>
  <c r="E19" i="9"/>
  <c r="E25" i="9" s="1"/>
  <c r="K23" i="9"/>
  <c r="K22" i="9"/>
  <c r="K19" i="9"/>
  <c r="K17" i="9"/>
  <c r="F25" i="9"/>
  <c r="G22" i="9"/>
  <c r="G17" i="9"/>
  <c r="G19" i="9"/>
  <c r="G23" i="9"/>
  <c r="H23" i="9"/>
  <c r="H22" i="9"/>
  <c r="H19" i="9"/>
  <c r="H17" i="9"/>
  <c r="I23" i="9"/>
  <c r="I22" i="9"/>
  <c r="I19" i="9"/>
  <c r="I17" i="9"/>
  <c r="M27" i="11" l="1"/>
  <c r="K27" i="11"/>
  <c r="L27" i="11"/>
  <c r="E27" i="11"/>
  <c r="O27" i="11"/>
  <c r="F27" i="11"/>
  <c r="P27" i="11"/>
  <c r="N27" i="11"/>
  <c r="P31" i="11"/>
  <c r="P30" i="11"/>
  <c r="J27" i="11"/>
  <c r="P29" i="11"/>
  <c r="I27" i="11"/>
  <c r="H27" i="11"/>
  <c r="P28" i="11"/>
  <c r="E27" i="10"/>
  <c r="Z28" i="10"/>
  <c r="Z30" i="10"/>
  <c r="P28" i="10"/>
  <c r="Z29" i="10"/>
  <c r="I85" i="15"/>
  <c r="I88" i="15" s="1"/>
  <c r="N94" i="15"/>
  <c r="N85" i="15"/>
  <c r="G100" i="15"/>
  <c r="G23" i="15"/>
  <c r="G27" i="15" s="1"/>
  <c r="N100" i="15"/>
  <c r="G85" i="15"/>
  <c r="M18" i="15"/>
  <c r="M23" i="15" s="1"/>
  <c r="M53" i="15" s="1"/>
  <c r="M84" i="15"/>
  <c r="H23" i="15"/>
  <c r="H53" i="15" s="1"/>
  <c r="H100" i="15"/>
  <c r="O94" i="15"/>
  <c r="H94" i="15"/>
  <c r="O85" i="15"/>
  <c r="O100" i="15"/>
  <c r="I94" i="15"/>
  <c r="I97" i="15" s="1"/>
  <c r="M42" i="15"/>
  <c r="M44" i="15" s="1"/>
  <c r="K94" i="15"/>
  <c r="K97" i="15" s="1"/>
  <c r="K100" i="15"/>
  <c r="K85" i="15"/>
  <c r="K88" i="15" s="1"/>
  <c r="M96" i="15"/>
  <c r="I100" i="15"/>
  <c r="I23" i="15"/>
  <c r="J53" i="15"/>
  <c r="J27" i="15"/>
  <c r="J86" i="15" s="1"/>
  <c r="O27" i="15"/>
  <c r="O53" i="15"/>
  <c r="Y28" i="10"/>
  <c r="Y31" i="10"/>
  <c r="Y29" i="10"/>
  <c r="AA30" i="10"/>
  <c r="K27" i="10"/>
  <c r="P31" i="10"/>
  <c r="V27" i="10"/>
  <c r="Y27" i="10"/>
  <c r="R27" i="10"/>
  <c r="P27" i="10"/>
  <c r="W27" i="10"/>
  <c r="G27" i="10"/>
  <c r="AA28" i="10"/>
  <c r="Q27" i="10"/>
  <c r="S27" i="10"/>
  <c r="P30" i="10"/>
  <c r="X27" i="10"/>
  <c r="I27" i="10"/>
  <c r="U27" i="10"/>
  <c r="AA29" i="10"/>
  <c r="N27" i="10"/>
  <c r="Z27" i="10"/>
  <c r="M27" i="10"/>
  <c r="H27" i="10"/>
  <c r="AA31" i="10"/>
  <c r="L27" i="10"/>
  <c r="O27" i="10"/>
  <c r="T27" i="10"/>
  <c r="P29" i="10"/>
  <c r="F27" i="10"/>
  <c r="Y42" i="22"/>
  <c r="Z41" i="22"/>
  <c r="L32" i="22"/>
  <c r="K33" i="22"/>
  <c r="K38" i="22"/>
  <c r="C39" i="22"/>
  <c r="N38" i="22"/>
  <c r="U44" i="22"/>
  <c r="V43" i="22"/>
  <c r="L27" i="15"/>
  <c r="L53" i="15"/>
  <c r="K53" i="15"/>
  <c r="K27" i="15"/>
  <c r="K32" i="15" s="1"/>
  <c r="N53" i="15"/>
  <c r="N27" i="15"/>
  <c r="J21" i="9"/>
  <c r="J26" i="9" s="1"/>
  <c r="J25" i="9"/>
  <c r="G21" i="9"/>
  <c r="G26" i="9" s="1"/>
  <c r="G25" i="9"/>
  <c r="G29" i="9"/>
  <c r="G34" i="9" s="1"/>
  <c r="G27" i="9"/>
  <c r="H21" i="9"/>
  <c r="H26" i="9" s="1"/>
  <c r="H25" i="9"/>
  <c r="L29" i="9"/>
  <c r="L34" i="9" s="1"/>
  <c r="L27" i="9"/>
  <c r="I21" i="9"/>
  <c r="I26" i="9" s="1"/>
  <c r="I25" i="9"/>
  <c r="K21" i="9"/>
  <c r="K26" i="9" s="1"/>
  <c r="K25" i="9"/>
  <c r="H29" i="9"/>
  <c r="H34" i="9" s="1"/>
  <c r="H27" i="9"/>
  <c r="E27" i="9"/>
  <c r="E21" i="9"/>
  <c r="E26" i="9" s="1"/>
  <c r="E29" i="9"/>
  <c r="E34" i="9" s="1"/>
  <c r="I29" i="9"/>
  <c r="I34" i="9" s="1"/>
  <c r="I27" i="9"/>
  <c r="K29" i="9"/>
  <c r="K34" i="9" s="1"/>
  <c r="K27" i="9"/>
  <c r="L21" i="9"/>
  <c r="L26" i="9" s="1"/>
  <c r="L25" i="9"/>
  <c r="J29" i="9"/>
  <c r="J34" i="9" s="1"/>
  <c r="J27" i="9"/>
  <c r="G53" i="15" l="1"/>
  <c r="M85" i="15"/>
  <c r="M27" i="15"/>
  <c r="M94" i="15"/>
  <c r="N86" i="15"/>
  <c r="M100" i="15"/>
  <c r="H27" i="15"/>
  <c r="H56" i="15" s="1"/>
  <c r="O95" i="15"/>
  <c r="I27" i="15"/>
  <c r="I53" i="15"/>
  <c r="G56" i="15"/>
  <c r="G58" i="15"/>
  <c r="G54" i="15"/>
  <c r="G59" i="15"/>
  <c r="G60" i="15"/>
  <c r="G55" i="15"/>
  <c r="G31" i="15"/>
  <c r="G86" i="15"/>
  <c r="G41" i="15"/>
  <c r="G57" i="15"/>
  <c r="G61" i="15"/>
  <c r="G95" i="15"/>
  <c r="O86" i="15"/>
  <c r="O54" i="15"/>
  <c r="O55" i="15"/>
  <c r="O56" i="15"/>
  <c r="O61" i="15"/>
  <c r="O60" i="15"/>
  <c r="O31" i="15"/>
  <c r="O41" i="15"/>
  <c r="O57" i="15"/>
  <c r="O59" i="15"/>
  <c r="O58" i="15"/>
  <c r="J54" i="15"/>
  <c r="J55" i="15"/>
  <c r="J56" i="15"/>
  <c r="J31" i="15"/>
  <c r="J41" i="15"/>
  <c r="J57" i="15"/>
  <c r="J58" i="15"/>
  <c r="J95" i="15"/>
  <c r="J59" i="15"/>
  <c r="J61" i="15"/>
  <c r="J60" i="15"/>
  <c r="L38" i="22"/>
  <c r="K39" i="22"/>
  <c r="V44" i="22"/>
  <c r="W43" i="22"/>
  <c r="Z42" i="22"/>
  <c r="AA41" i="22"/>
  <c r="U48" i="22"/>
  <c r="N55" i="15"/>
  <c r="N41" i="15"/>
  <c r="N57" i="15"/>
  <c r="N56" i="15"/>
  <c r="N31" i="15"/>
  <c r="N58" i="15"/>
  <c r="N59" i="15"/>
  <c r="N60" i="15"/>
  <c r="N61" i="15"/>
  <c r="N54" i="15"/>
  <c r="N95" i="15"/>
  <c r="K58" i="15"/>
  <c r="K59" i="15"/>
  <c r="K60" i="15"/>
  <c r="K61" i="15"/>
  <c r="K55" i="15"/>
  <c r="K54" i="15"/>
  <c r="K56" i="15"/>
  <c r="K31" i="15"/>
  <c r="K41" i="15"/>
  <c r="K57" i="15"/>
  <c r="K95" i="15"/>
  <c r="K86" i="15"/>
  <c r="L31" i="15"/>
  <c r="L41" i="15"/>
  <c r="L57" i="15"/>
  <c r="L59" i="15"/>
  <c r="L58" i="15"/>
  <c r="L60" i="15"/>
  <c r="L54" i="15"/>
  <c r="L61" i="15"/>
  <c r="L55" i="15"/>
  <c r="L56" i="15"/>
  <c r="L86" i="15"/>
  <c r="L95" i="15"/>
  <c r="H55" i="15" l="1"/>
  <c r="H54" i="15"/>
  <c r="M86" i="15"/>
  <c r="M32" i="15"/>
  <c r="M55" i="15"/>
  <c r="M54" i="15"/>
  <c r="M59" i="15"/>
  <c r="M57" i="15"/>
  <c r="M41" i="15"/>
  <c r="M56" i="15"/>
  <c r="M61" i="15"/>
  <c r="M95" i="15"/>
  <c r="M58" i="15"/>
  <c r="M60" i="15"/>
  <c r="M31" i="15"/>
  <c r="H61" i="15"/>
  <c r="H86" i="15"/>
  <c r="H57" i="15"/>
  <c r="H95" i="15"/>
  <c r="H60" i="15"/>
  <c r="H59" i="15"/>
  <c r="H41" i="15"/>
  <c r="H31" i="15"/>
  <c r="H58" i="15"/>
  <c r="I60" i="15"/>
  <c r="I61" i="15"/>
  <c r="I55" i="15"/>
  <c r="I31" i="15"/>
  <c r="I41" i="15"/>
  <c r="I57" i="15"/>
  <c r="I56" i="15"/>
  <c r="I58" i="15"/>
  <c r="I59" i="15"/>
  <c r="I86" i="15"/>
  <c r="I54" i="15"/>
  <c r="I95" i="15"/>
  <c r="AB41" i="22"/>
  <c r="AA43" i="22"/>
  <c r="AA44" i="22" s="1"/>
  <c r="AA42" i="22"/>
  <c r="W44" i="22"/>
  <c r="X43" i="22"/>
  <c r="V48" i="22"/>
  <c r="W48" i="22" s="1"/>
  <c r="X44" i="22" l="1"/>
  <c r="X48" i="22" s="1"/>
  <c r="Y43" i="22"/>
  <c r="AC41" i="22"/>
  <c r="AB43" i="22"/>
  <c r="AB44" i="22" s="1"/>
  <c r="AB42" i="22"/>
  <c r="AD41" i="22" l="1"/>
  <c r="AC43" i="22"/>
  <c r="AC44" i="22" s="1"/>
  <c r="AC42" i="22"/>
  <c r="Y44" i="22"/>
  <c r="Z43" i="22"/>
  <c r="Z44" i="22" s="1"/>
  <c r="AF47" i="22" l="1"/>
  <c r="AE47" i="22"/>
  <c r="AD47" i="22"/>
  <c r="AC47" i="22"/>
  <c r="AB47" i="22"/>
  <c r="AA47" i="22"/>
  <c r="AE41" i="22"/>
  <c r="AD43" i="22"/>
  <c r="AD42" i="22"/>
  <c r="Y48" i="22"/>
  <c r="Z48" i="22" s="1"/>
  <c r="AF41" i="22" l="1"/>
  <c r="AE43" i="22"/>
  <c r="AE44" i="22" s="1"/>
  <c r="AE42" i="22"/>
  <c r="Z51" i="22"/>
  <c r="AA48" i="22"/>
  <c r="AB48" i="22" s="1"/>
  <c r="AC48" i="22" s="1"/>
  <c r="Z46" i="22"/>
  <c r="Z50" i="22"/>
  <c r="AD44" i="22"/>
  <c r="AC51" i="22" l="1"/>
  <c r="AD48" i="22"/>
  <c r="AE48" i="22" s="1"/>
  <c r="AC50" i="22"/>
  <c r="AC46" i="22"/>
  <c r="AF43" i="22"/>
  <c r="AF44" i="22" s="1"/>
  <c r="AG44" i="22" s="1"/>
  <c r="T45" i="22" s="1"/>
  <c r="T46" i="22" s="1"/>
  <c r="AF42" i="22"/>
  <c r="AG43" i="22" l="1"/>
  <c r="T43" i="22" s="1"/>
  <c r="AF48" i="22"/>
  <c r="AF51" i="22" l="1"/>
  <c r="AF50" i="22"/>
  <c r="AF46" i="22"/>
  <c r="E3" i="3" l="1"/>
  <c r="E12" i="3"/>
  <c r="E15" i="3" l="1"/>
  <c r="P15" i="3"/>
  <c r="G4" i="3"/>
  <c r="G3" i="3"/>
  <c r="G15" i="3" l="1"/>
  <c r="Q12" i="3"/>
  <c r="Q14" i="3"/>
  <c r="Q6" i="3"/>
  <c r="Q10" i="3"/>
  <c r="Q4" i="3"/>
  <c r="Q13" i="3"/>
  <c r="Q11" i="3"/>
  <c r="Q9" i="3"/>
  <c r="Q7" i="3"/>
  <c r="Q8" i="3"/>
  <c r="Q5" i="3"/>
  <c r="Q1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 Grote</author>
  </authors>
  <commentList>
    <comment ref="B4" authorId="0" shapeId="0" xr:uid="{945AF739-4916-4568-9448-1BDEB77C3D33}">
      <text>
        <r>
          <rPr>
            <b/>
            <sz val="9"/>
            <color indexed="81"/>
            <rFont val="Tahoma"/>
            <family val="2"/>
          </rPr>
          <t>Greg Grote:</t>
        </r>
        <r>
          <rPr>
            <sz val="9"/>
            <color indexed="81"/>
            <rFont val="Tahoma"/>
            <family val="2"/>
          </rPr>
          <t xml:space="preserve">
Effective NW when there is sub-debt.</t>
        </r>
      </text>
    </comment>
    <comment ref="B6" authorId="0" shapeId="0" xr:uid="{A6372B59-CE93-4688-B089-834C9AC6C623}">
      <text>
        <r>
          <rPr>
            <b/>
            <sz val="9"/>
            <color indexed="81"/>
            <rFont val="Tahoma"/>
            <family val="2"/>
          </rPr>
          <t>Greg Grote:</t>
        </r>
        <r>
          <rPr>
            <sz val="9"/>
            <color indexed="81"/>
            <rFont val="Tahoma"/>
            <family val="2"/>
          </rPr>
          <t xml:space="preserve">
On Effective NW when there is Sub-Debt.</t>
        </r>
      </text>
    </comment>
  </commentList>
</comments>
</file>

<file path=xl/sharedStrings.xml><?xml version="1.0" encoding="utf-8"?>
<sst xmlns="http://schemas.openxmlformats.org/spreadsheetml/2006/main" count="1305" uniqueCount="821">
  <si>
    <t>Hide if not used</t>
  </si>
  <si>
    <t>Borrower</t>
  </si>
  <si>
    <t>Facility Type</t>
  </si>
  <si>
    <t>Bank Group Commitment</t>
  </si>
  <si>
    <t>Existing</t>
  </si>
  <si>
    <t>Proposed</t>
  </si>
  <si>
    <t>Flagstar</t>
  </si>
  <si>
    <t>Proposed Commitment</t>
  </si>
  <si>
    <t>Outstanding Balance</t>
  </si>
  <si>
    <t>Note Maturity</t>
  </si>
  <si>
    <t>RR</t>
  </si>
  <si>
    <t xml:space="preserve">Interest </t>
  </si>
  <si>
    <t>Fee</t>
  </si>
  <si>
    <t>Repay</t>
  </si>
  <si>
    <t>Coll</t>
  </si>
  <si>
    <t>Commitment</t>
  </si>
  <si>
    <t>Rate</t>
  </si>
  <si>
    <t>Floor</t>
  </si>
  <si>
    <t>Proposed Exposure:</t>
  </si>
  <si>
    <t>Existing Exposure:</t>
  </si>
  <si>
    <t>Total Exposure:</t>
  </si>
  <si>
    <t>Approval Level:</t>
  </si>
  <si>
    <t>Appproval Level:</t>
  </si>
  <si>
    <t>Choose:</t>
  </si>
  <si>
    <t>Other</t>
  </si>
  <si>
    <t>N/A</t>
  </si>
  <si>
    <t>FDOT</t>
  </si>
  <si>
    <t>Facility Amount</t>
  </si>
  <si>
    <t>Group Manager &amp; Senior Credit Officer</t>
  </si>
  <si>
    <t>SDOT</t>
  </si>
  <si>
    <t>Group Manager &amp; Deputy CCO</t>
  </si>
  <si>
    <t>Unsec</t>
  </si>
  <si>
    <t>Existing Commitment</t>
  </si>
  <si>
    <t>President of CRE Banking &amp; Deputy CCO</t>
  </si>
  <si>
    <t>Cash Sec</t>
  </si>
  <si>
    <t>President of CRE Banking &amp; Chief Credit Officer</t>
  </si>
  <si>
    <t>Institution</t>
  </si>
  <si>
    <t>Current Revolver  Commit</t>
  </si>
  <si>
    <t>%</t>
  </si>
  <si>
    <t>Allocation Change</t>
  </si>
  <si>
    <t>Proposed Revolver Commit</t>
  </si>
  <si>
    <t>Current Term Loan Commit</t>
  </si>
  <si>
    <t>Proposed Term Loan Commit</t>
  </si>
  <si>
    <t>Class</t>
  </si>
  <si>
    <t>w/ Accordion</t>
  </si>
  <si>
    <t>Proposed Total Commitment</t>
  </si>
  <si>
    <t>Wells Fargo</t>
  </si>
  <si>
    <t>Fifith Third Bank</t>
  </si>
  <si>
    <t>Bank of the West/BMO</t>
  </si>
  <si>
    <t>Bank of America</t>
  </si>
  <si>
    <t>Citizens Bank</t>
  </si>
  <si>
    <t>US Bank</t>
  </si>
  <si>
    <t>Flagstar Bank</t>
  </si>
  <si>
    <t>Regions Bank</t>
  </si>
  <si>
    <t>Texas Capital Bank</t>
  </si>
  <si>
    <t>Veritex</t>
  </si>
  <si>
    <t>TBD</t>
  </si>
  <si>
    <t>Total:</t>
  </si>
  <si>
    <t>Covenant</t>
  </si>
  <si>
    <t>Entity Tested</t>
  </si>
  <si>
    <t>Testing Frequency</t>
  </si>
  <si>
    <t>Requirement
$000's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</si>
  <si>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</si>
  <si>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</si>
  <si>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</si>
  <si>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</si>
  <si>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</si>
  <si>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</si>
  <si>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</si>
  <si>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</si>
  <si>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</si>
  <si>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Minimum Liquidity</t>
  </si>
  <si>
    <t>Quarterly</t>
  </si>
  <si>
    <r>
      <t>Minimum TNW</t>
    </r>
    <r>
      <rPr>
        <vertAlign val="superscript"/>
        <sz val="10"/>
        <color theme="1"/>
        <rFont val="Arial"/>
        <family val="2"/>
      </rPr>
      <t>[1]</t>
    </r>
  </si>
  <si>
    <t>Maximum DTNW</t>
  </si>
  <si>
    <t>2.14x</t>
  </si>
  <si>
    <t>Maximum Global Spec Ratio</t>
  </si>
  <si>
    <t>Maximum Completed Spec Ratio</t>
  </si>
  <si>
    <t>Max Distributions</t>
  </si>
  <si>
    <t>Annually</t>
  </si>
  <si>
    <t>Not to Exceed 65% of Net Income</t>
  </si>
  <si>
    <t>[1]</t>
  </si>
  <si>
    <t>The minimum TNW threshold was adjusted from $5MM to $18MM per the 4/22/25 CrDD approval for the renewal of the facility. The borrower has complied with this covenant since inception.</t>
  </si>
  <si>
    <t>Notes on Column Usage:</t>
  </si>
  <si>
    <t>Hide if Not Used</t>
  </si>
  <si>
    <t>REQUIRED</t>
  </si>
  <si>
    <t>Calculation</t>
  </si>
  <si>
    <t>Must be Arm's Length</t>
  </si>
  <si>
    <t>Unit Type</t>
  </si>
  <si>
    <t>Model / Floorplan</t>
  </si>
  <si>
    <t>Address</t>
  </si>
  <si>
    <t>Obligation No.</t>
  </si>
  <si>
    <t>Start Date</t>
  </si>
  <si>
    <t>Current Maturity</t>
  </si>
  <si>
    <t>Months on Base at Maturity</t>
  </si>
  <si>
    <t>Proposed Maturity</t>
  </si>
  <si>
    <t>Proposed Months on Base</t>
  </si>
  <si>
    <t>Loan Amount (Gross Alloc.)</t>
  </si>
  <si>
    <t>Completion %</t>
  </si>
  <si>
    <t>"As Comp." Appraised Value</t>
  </si>
  <si>
    <t>Contracted / Est. Sales Price</t>
  </si>
  <si>
    <t>Total Cost</t>
  </si>
  <si>
    <t>LTV</t>
  </si>
  <si>
    <t>LTC</t>
  </si>
  <si>
    <t>Hide Rows Not Used</t>
  </si>
  <si>
    <t>TOTAL/AVG:</t>
  </si>
  <si>
    <t>Unit Type:</t>
  </si>
  <si>
    <t>Spec</t>
  </si>
  <si>
    <t>Presold</t>
  </si>
  <si>
    <t>Model</t>
  </si>
  <si>
    <t>Finished Lot</t>
  </si>
  <si>
    <t>LUD</t>
  </si>
  <si>
    <t>Net / Gross Facility</t>
  </si>
  <si>
    <t>Lots/Units</t>
  </si>
  <si>
    <t>Principal Balance (UPB)</t>
  </si>
  <si>
    <t>Gross Allocation</t>
  </si>
  <si>
    <t>Value</t>
  </si>
  <si>
    <t>Exposure (Cost)</t>
  </si>
  <si>
    <t>BB $</t>
  </si>
  <si>
    <t>Comt'd $</t>
  </si>
  <si>
    <t>Land</t>
  </si>
  <si>
    <t>A&amp;D Projects (LUD)</t>
  </si>
  <si>
    <t>Finished Lots</t>
  </si>
  <si>
    <t>Total Horizontal Development:</t>
  </si>
  <si>
    <t>Models</t>
  </si>
  <si>
    <t>Specs</t>
  </si>
  <si>
    <t>Presolds</t>
  </si>
  <si>
    <t>Total Vertical Construction:</t>
  </si>
  <si>
    <t>TOTAL:</t>
  </si>
  <si>
    <t>Principal Balance (UPB):</t>
  </si>
  <si>
    <t>Remaining to Fund:</t>
  </si>
  <si>
    <t>Overall LTV:</t>
  </si>
  <si>
    <t>Overall LTC:</t>
  </si>
  <si>
    <t>Letters of Credit:</t>
  </si>
  <si>
    <t>If secured by Cash versus cost to complete within an A&amp;D loan, the L/C amount is additional exposure.</t>
  </si>
  <si>
    <t>Current Max Commitment:</t>
  </si>
  <si>
    <t>Net:</t>
  </si>
  <si>
    <t>Gross:</t>
  </si>
  <si>
    <t>Proposed Increase / (Decrease)</t>
  </si>
  <si>
    <t>Total Utilization:</t>
  </si>
  <si>
    <t>Net</t>
  </si>
  <si>
    <t>Gross</t>
  </si>
  <si>
    <t>Proposed Max Commitment:</t>
  </si>
  <si>
    <t>Proposed Utilization:</t>
  </si>
  <si>
    <t>Gross Facility</t>
  </si>
  <si>
    <t>Account Owner</t>
  </si>
  <si>
    <t>12-month Average</t>
  </si>
  <si>
    <t>Current Balance</t>
  </si>
  <si>
    <t>Interest Rate</t>
  </si>
  <si>
    <t>Borrower 1</t>
  </si>
  <si>
    <t>Borrower 2</t>
  </si>
  <si>
    <t>Borrower 3</t>
  </si>
  <si>
    <t>---</t>
  </si>
  <si>
    <t>RLOC - Guidance Line Facility</t>
  </si>
  <si>
    <t>TTM Utilization Data</t>
  </si>
  <si>
    <t>Low Usage</t>
  </si>
  <si>
    <t>High Usage</t>
  </si>
  <si>
    <t>Median Usage</t>
  </si>
  <si>
    <t>Average Usage</t>
  </si>
  <si>
    <t>Commitment:</t>
  </si>
  <si>
    <t>Outstanding:</t>
  </si>
  <si>
    <t>Min:</t>
  </si>
  <si>
    <t>Max:</t>
  </si>
  <si>
    <t>Avg:</t>
  </si>
  <si>
    <t>RLOC - Borrowing Base Facility</t>
  </si>
  <si>
    <t>Net Outstanding:</t>
  </si>
  <si>
    <t>Tier Guideline Heat Map</t>
  </si>
  <si>
    <t>Category</t>
  </si>
  <si>
    <t>Top</t>
  </si>
  <si>
    <t>Tier 1</t>
  </si>
  <si>
    <t>Tier 2</t>
  </si>
  <si>
    <t>Tier 3</t>
  </si>
  <si>
    <t>Net Worth</t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</si>
  <si>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$30MM</t>
    </r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</si>
  <si>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$15MM - $30MM</t>
    </r>
  </si>
  <si>
    <t>&gt;$7.5MM - $15MM</t>
  </si>
  <si>
    <t>&lt;$7.5MM</t>
  </si>
  <si>
    <t># Closings ( TTM)</t>
  </si>
  <si>
    <t>400+</t>
  </si>
  <si>
    <t>200-400</t>
  </si>
  <si>
    <t>50 - 200</t>
  </si>
  <si>
    <t>&lt;50</t>
  </si>
  <si>
    <t>Leverage</t>
  </si>
  <si>
    <r>
      <rPr>
        <u/>
        <sz val="10"/>
        <color theme="1"/>
        <rFont val="Arial"/>
        <family val="2"/>
      </rPr>
      <t>&lt;</t>
    </r>
    <r>
      <rPr>
        <sz val="10"/>
        <color theme="1"/>
        <rFont val="Arial"/>
        <family val="2"/>
      </rPr>
      <t xml:space="preserve"> 2.0:1</t>
    </r>
  </si>
  <si>
    <r>
      <t xml:space="preserve">&gt;2.0 - </t>
    </r>
    <r>
      <rPr>
        <u/>
        <sz val="10"/>
        <color theme="1"/>
        <rFont val="Arial"/>
        <family val="2"/>
      </rPr>
      <t>&lt;</t>
    </r>
    <r>
      <rPr>
        <sz val="10"/>
        <color theme="1"/>
        <rFont val="Arial"/>
        <family val="2"/>
      </rPr>
      <t>3.50:1</t>
    </r>
  </si>
  <si>
    <r>
      <t xml:space="preserve">&gt;3.50 - </t>
    </r>
    <r>
      <rPr>
        <u/>
        <sz val="10"/>
        <color theme="1"/>
        <rFont val="Arial"/>
        <family val="2"/>
      </rPr>
      <t>&lt;</t>
    </r>
    <r>
      <rPr>
        <sz val="10"/>
        <color theme="1"/>
        <rFont val="Arial"/>
        <family val="2"/>
      </rPr>
      <t>4.50:1</t>
    </r>
  </si>
  <si>
    <t>&gt;4.50:1</t>
  </si>
  <si>
    <t>Max. Risk Assets to total assets</t>
  </si>
  <si>
    <t>&lt;30%</t>
  </si>
  <si>
    <t>&lt;35%</t>
  </si>
  <si>
    <t>&lt;45%</t>
  </si>
  <si>
    <t>&gt;45%</t>
  </si>
  <si>
    <t>Liquidity (%TA or Mos.Op.Cost)</t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</si>
  <si>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3% or &gt;9X Op cost</t>
    </r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</si>
  <si>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3% or &gt;7X Op cost</t>
    </r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</si>
  <si>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5% or &gt; 5X Op cost</t>
    </r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</si>
  <si>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5% or &lt;5X Op cost</t>
    </r>
  </si>
  <si>
    <t>Years in business</t>
  </si>
  <si>
    <t>&gt;15 years</t>
  </si>
  <si>
    <t>7-15 years</t>
  </si>
  <si>
    <t>3 - 7 years</t>
  </si>
  <si>
    <t>&lt; 3 years</t>
  </si>
  <si>
    <t>Final Tier Rating:</t>
  </si>
  <si>
    <t>As measured on borrower's Balance Sheet (straight Calc) - use ENW and Leverage when there is Sub-Debt.</t>
  </si>
  <si>
    <r>
      <t xml:space="preserve">At the present time, there is no encoded “weight” on the categories, but the top 3 categories </t>
    </r>
    <r>
      <rPr>
        <i/>
        <u/>
        <sz val="10"/>
        <rFont val="Arial"/>
        <family val="2"/>
      </rPr>
      <t>(NW, Leverage, # closings)</t>
    </r>
    <r>
      <rPr>
        <i/>
        <sz val="10"/>
        <rFont val="Arial"/>
        <family val="2"/>
      </rPr>
      <t xml:space="preserve"> are the primary determining factors.  The other 3 categories </t>
    </r>
    <r>
      <rPr>
        <i/>
        <u/>
        <sz val="10"/>
        <rFont val="Arial"/>
        <family val="2"/>
      </rPr>
      <t>(RA/TA, Liquidity, and years in business)</t>
    </r>
    <r>
      <rPr>
        <i/>
        <sz val="10"/>
        <rFont val="Arial"/>
        <family val="2"/>
      </rPr>
      <t xml:space="preserve"> can add subjective value to support the final Tier result. So instead of indicating a Top, 1, 2, or 3 rating, you can </t>
    </r>
    <r>
      <rPr>
        <i/>
        <u/>
        <sz val="10"/>
        <rFont val="Arial"/>
        <family val="2"/>
      </rPr>
      <t>simply mark the box with an X.</t>
    </r>
  </si>
  <si>
    <t>Sales/Closing Summary</t>
  </si>
  <si>
    <t>FYE 2021</t>
  </si>
  <si>
    <t>FYE 2022</t>
  </si>
  <si>
    <t>FYE 2023</t>
  </si>
  <si>
    <t>FYE 2024</t>
  </si>
  <si>
    <t>FYE 2025</t>
  </si>
  <si>
    <t>($000's)</t>
  </si>
  <si>
    <t>Actual</t>
  </si>
  <si>
    <t>YOY +/-</t>
  </si>
  <si>
    <t>Projected</t>
  </si>
  <si>
    <t>Gross Revenue - Home Sales:</t>
  </si>
  <si>
    <t>Avg. Price/Unit Sold:</t>
  </si>
  <si>
    <t>Total Closings:</t>
  </si>
  <si>
    <t>Gross Sales:</t>
  </si>
  <si>
    <t>Cancellations:</t>
  </si>
  <si>
    <t>Cancellation Rate:</t>
  </si>
  <si>
    <t>Net Sales:</t>
  </si>
  <si>
    <t>Monthly Closing Absorption Rate:</t>
  </si>
  <si>
    <t>Monthly Sales Absorption Rate:</t>
  </si>
  <si>
    <t>Active Subdivisions:</t>
  </si>
  <si>
    <t>Notes:</t>
  </si>
  <si>
    <t>- Hide columns that are not needed or completed.</t>
  </si>
  <si>
    <t>- The table is designed to compare each previous period to the next.  Cannot compare a FYE to an interim quarterly period.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</si>
  <si>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</si>
  <si>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</si>
  <si>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</si>
  <si>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</si>
  <si>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</si>
  <si>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</si>
  <si>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</si>
  <si>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</si>
  <si>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</si>
  <si>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</si>
  <si>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</si>
  <si>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</si>
  <si>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</si>
  <si>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Abs</t>
  </si>
  <si>
    <t>Actual Net Sales</t>
  </si>
  <si>
    <t>Actual Closings</t>
  </si>
  <si>
    <t>Collateral Description</t>
  </si>
  <si>
    <t>As Is</t>
  </si>
  <si>
    <t>As Complete</t>
  </si>
  <si>
    <t>Eff. Date  of Value</t>
  </si>
  <si>
    <t>Per</t>
  </si>
  <si>
    <t>Completion Date</t>
  </si>
  <si>
    <t>Unit/Acre</t>
  </si>
  <si>
    <t>Real Estate - 1st DOT (or Mortgage)</t>
  </si>
  <si>
    <t>If Collateral is not to be developed with proposed financing and appraised "As Is", duplicate value (Column F in Column I).</t>
  </si>
  <si>
    <t>Acres / Lots (Property Type)</t>
  </si>
  <si>
    <t>Address, City, State</t>
  </si>
  <si>
    <t>Total Collateral Value:</t>
  </si>
  <si>
    <t xml:space="preserve">  All Collateral must be free and clear of Senior Liens and Past Due Taxes.</t>
  </si>
  <si>
    <t>Loan Commitment / Total Funding if Revolving A&amp;D Facility:</t>
  </si>
  <si>
    <t>Loan to Value (LTV):</t>
  </si>
  <si>
    <r>
      <t xml:space="preserve">Using the proposed </t>
    </r>
    <r>
      <rPr>
        <u/>
        <sz val="11"/>
        <color rgb="FF0070C0"/>
        <rFont val="Aptos Narrow"/>
        <family val="2"/>
        <scheme val="minor"/>
      </rPr>
      <t>60%</t>
    </r>
    <r>
      <rPr>
        <sz val="11"/>
        <color theme="1"/>
        <rFont val="Aptos Narrow"/>
        <family val="2"/>
        <scheme val="minor"/>
      </rPr>
      <t xml:space="preserve"> advance rate and </t>
    </r>
    <r>
      <rPr>
        <u/>
        <sz val="11"/>
        <color rgb="FF0070C0"/>
        <rFont val="Aptos Narrow"/>
        <family val="2"/>
        <scheme val="minor"/>
      </rPr>
      <t>$14,000,000</t>
    </r>
    <r>
      <rPr>
        <sz val="11"/>
        <color theme="1"/>
        <rFont val="Aptos Narrow"/>
        <family val="2"/>
        <scheme val="minor"/>
      </rPr>
      <t xml:space="preserve"> concluded total collateral value ("As Complete" value for Phase I and "As Is" value on trailing/future phases, if any), a </t>
    </r>
    <r>
      <rPr>
        <u/>
        <sz val="11"/>
        <color rgb="FF0070C0"/>
        <rFont val="Aptos Narrow"/>
        <family val="2"/>
        <scheme val="minor"/>
      </rPr>
      <t>28.6%</t>
    </r>
    <r>
      <rPr>
        <sz val="11"/>
        <color theme="1"/>
        <rFont val="Aptos Narrow"/>
        <family val="2"/>
        <scheme val="minor"/>
      </rPr>
      <t xml:space="preserve"> LTV is concluded and supports the proposed </t>
    </r>
    <r>
      <rPr>
        <u/>
        <sz val="11"/>
        <color rgb="FF0070C0"/>
        <rFont val="Aptos Narrow"/>
        <family val="2"/>
        <scheme val="minor"/>
      </rPr>
      <t>$4,000,000</t>
    </r>
    <r>
      <rPr>
        <sz val="11"/>
        <color theme="1"/>
        <rFont val="Aptos Narrow"/>
        <family val="2"/>
        <scheme val="minor"/>
      </rPr>
      <t xml:space="preserve"> revolving facility.  Given the revolving nature of the facilty, </t>
    </r>
    <r>
      <rPr>
        <u/>
        <sz val="11"/>
        <color rgb="FF0070C0"/>
        <rFont val="Aptos Narrow"/>
        <family val="2"/>
        <scheme val="minor"/>
      </rPr>
      <t>$10,000,000</t>
    </r>
    <r>
      <rPr>
        <sz val="11"/>
        <color theme="1"/>
        <rFont val="Aptos Narrow"/>
        <family val="2"/>
        <scheme val="minor"/>
      </rPr>
      <t xml:space="preserve"> in total loan proceeds will be funded (per the project proforma), resulting in a </t>
    </r>
    <r>
      <rPr>
        <u/>
        <sz val="11"/>
        <color rgb="FF0070C0"/>
        <rFont val="Aptos Narrow"/>
        <family val="2"/>
        <scheme val="minor"/>
      </rPr>
      <t>71.4%</t>
    </r>
    <r>
      <rPr>
        <sz val="11"/>
        <color theme="1"/>
        <rFont val="Aptos Narrow"/>
        <family val="2"/>
        <scheme val="minor"/>
      </rPr>
      <t xml:space="preserve"> LTV, which is supported by the total collateral value.  However at no time shall the UPB exceed the proposed </t>
    </r>
    <r>
      <rPr>
        <u/>
        <sz val="11"/>
        <color rgb="FF0070C0"/>
        <rFont val="Aptos Narrow"/>
        <family val="2"/>
        <scheme val="minor"/>
      </rPr>
      <t>$4,000,000</t>
    </r>
    <r>
      <rPr>
        <sz val="11"/>
        <color theme="1"/>
        <rFont val="Aptos Narrow"/>
        <family val="2"/>
        <scheme val="minor"/>
      </rPr>
      <t xml:space="preserve"> commitment.</t>
    </r>
  </si>
  <si>
    <t>Balance Sheet</t>
  </si>
  <si>
    <t>Note</t>
  </si>
  <si>
    <t>FYE</t>
  </si>
  <si>
    <t>PYTD</t>
  </si>
  <si>
    <t>Forecast</t>
  </si>
  <si>
    <t>(000's)</t>
  </si>
  <si>
    <t>Cash</t>
  </si>
  <si>
    <t xml:space="preserve">A/R &amp; Other </t>
  </si>
  <si>
    <t>Work in Progress</t>
  </si>
  <si>
    <t xml:space="preserve">Other </t>
  </si>
  <si>
    <t>Total Current Assets</t>
  </si>
  <si>
    <t>Net Fixed Assets</t>
  </si>
  <si>
    <t>Other Non-Currents Assets</t>
  </si>
  <si>
    <t>Prepaid &amp; Other Intangibles</t>
  </si>
  <si>
    <t>Total Assets</t>
  </si>
  <si>
    <t>Current Liabilities</t>
  </si>
  <si>
    <t>Include any SubDebt</t>
  </si>
  <si>
    <t>Non-Current Liabilities</t>
  </si>
  <si>
    <t>Total Liabilities</t>
  </si>
  <si>
    <t>Effective Consolidated Debt</t>
  </si>
  <si>
    <t>Total Net Worth</t>
  </si>
  <si>
    <t>Working Capital</t>
  </si>
  <si>
    <t>Tangible Net Worth</t>
  </si>
  <si>
    <t>Subordinated Debt</t>
  </si>
  <si>
    <t>Effective TNW</t>
  </si>
  <si>
    <t>NOTE:  Total Net Worth s/b as reported on borrower’s BS; Tangible Net Worth s/b per FSB Policy for TNW; Effective TNW s/b FSB’s TNW definition with Sub-Debt.  TNW and ETNW should in line with spreads.  Adjusted NW/TNW is used in the covenant section when ADJUSTING the NW/TNW for coventant testing</t>
  </si>
  <si>
    <t>% Liquid / Total Assets</t>
  </si>
  <si>
    <t>% WIP / Total Assets</t>
  </si>
  <si>
    <t>Current Ratio</t>
  </si>
  <si>
    <t>Debt / TNW</t>
  </si>
  <si>
    <t>Debt / ETNW</t>
  </si>
  <si>
    <r>
      <rPr>
        <i/>
        <sz val="10"/>
        <color rgb="FFFF0000"/>
        <rFont val="Arial"/>
        <family val="2"/>
      </rPr>
      <t>XXXXXXXX</t>
    </r>
    <r>
      <rPr>
        <i/>
        <sz val="10"/>
        <color theme="1"/>
        <rFont val="Arial"/>
        <family val="2"/>
      </rPr>
      <t xml:space="preserve"> (Covenant Test)</t>
    </r>
  </si>
  <si>
    <t>Change in NW</t>
  </si>
  <si>
    <r>
      <t>Contributions (</t>
    </r>
    <r>
      <rPr>
        <i/>
        <sz val="9"/>
        <color rgb="FF0070C0"/>
        <rFont val="Arial"/>
        <family val="2"/>
      </rPr>
      <t>Preferred Stock</t>
    </r>
    <r>
      <rPr>
        <i/>
        <sz val="9"/>
        <color theme="1"/>
        <rFont val="Arial"/>
        <family val="2"/>
      </rPr>
      <t>)</t>
    </r>
  </si>
  <si>
    <t>Distributions</t>
  </si>
  <si>
    <t>Net Income</t>
  </si>
  <si>
    <t>Below please find the Banks standard TNW definition:</t>
  </si>
  <si>
    <t>Definition:</t>
  </si>
  <si>
    <r>
      <rPr>
        <u/>
        <sz val="11"/>
        <color theme="1"/>
        <rFont val="Aptos Narrow"/>
        <family val="2"/>
        <scheme val="minor"/>
      </rPr>
      <t xml:space="preserve">Tangible Net Worth </t>
    </r>
    <r>
      <rPr>
        <sz val="11"/>
        <color theme="1"/>
        <rFont val="Aptos Narrow"/>
        <family val="2"/>
        <scheme val="minor"/>
      </rPr>
      <t>– Net Worth is the excess of a company’s total assets less total liabilities in accordance with generally accepted accounting principles applied in a manner consistent with the most recent financial statements.  For purposes of calculating Net Worth, the following assets shall be excluded from a company’s total assets: </t>
    </r>
  </si>
  <si>
    <t>• advances or loans to shareholders, directors, officers, employees or affiliates;</t>
  </si>
  <si>
    <t>• investments in affiliates;</t>
  </si>
  <si>
    <t>• assets pledged to secure any liabilities not included in the debt of the company;</t>
  </si>
  <si>
    <t>• deposits/pre-paids;</t>
  </si>
  <si>
    <t>• goodwill;</t>
  </si>
  <si>
    <t>• any cash pledged to other creditors;</t>
  </si>
  <si>
    <t>• other assets Flagstar deems unacceptable, in its sole discretion.</t>
  </si>
  <si>
    <t>Lastly, I have also noticed an inconsistency in ATNW sometimes we say ANW, I think we need to be consistent and make sure the reader understands we are talking about ATNW.</t>
  </si>
  <si>
    <t>Please let me know if you have any questions.</t>
  </si>
  <si>
    <t>Thank you.</t>
  </si>
  <si>
    <t>Nik   (05/17/2016)</t>
  </si>
  <si>
    <t>Subdivision Name</t>
  </si>
  <si>
    <t>Prod. Type</t>
  </si>
  <si>
    <t>BACKLOG</t>
  </si>
  <si>
    <t>SOLD</t>
  </si>
  <si>
    <t>SPEC</t>
  </si>
  <si>
    <t>MODEL</t>
  </si>
  <si>
    <t>TOTAL</t>
  </si>
  <si>
    <t>LOTS OWNED</t>
  </si>
  <si>
    <t>LOTS CONTROLLED</t>
  </si>
  <si>
    <t>TOTAL LOTS</t>
  </si>
  <si>
    <t>Sold-NS</t>
  </si>
  <si>
    <t>UC</t>
  </si>
  <si>
    <t>C</t>
  </si>
  <si>
    <t>T</t>
  </si>
  <si>
    <t>Finished</t>
  </si>
  <si>
    <t>Own'd</t>
  </si>
  <si>
    <t>Con'd</t>
  </si>
  <si>
    <t>TOTALS</t>
  </si>
  <si>
    <t>% of Total</t>
  </si>
  <si>
    <t>MOS (TTM Sales):</t>
  </si>
  <si>
    <t>MOS (TTM Closings):</t>
  </si>
  <si>
    <t>MOS (Projected Sales):</t>
  </si>
  <si>
    <t>MOS (Projected Closings):</t>
  </si>
  <si>
    <t>NS = Not Started; UC = UNDER CONSTRUCTION;   C = COMPLETE;  T = TOTAL</t>
  </si>
  <si>
    <t>Net Sales</t>
  </si>
  <si>
    <t>Closing</t>
  </si>
  <si>
    <t>Proj Sales</t>
  </si>
  <si>
    <t>Proj Closings</t>
  </si>
  <si>
    <t>Prod. Type Samples:</t>
  </si>
  <si>
    <t xml:space="preserve"> Condo, TH, SF Detached, etc.</t>
  </si>
  <si>
    <t>As of Date:</t>
  </si>
  <si>
    <t>Bank</t>
  </si>
  <si>
    <t>Line Amount</t>
  </si>
  <si>
    <t>Outstanding</t>
  </si>
  <si>
    <t>Available</t>
  </si>
  <si>
    <t>Matures</t>
  </si>
  <si>
    <t xml:space="preserve">Texas Capital </t>
  </si>
  <si>
    <t xml:space="preserve">Third Coast </t>
  </si>
  <si>
    <t xml:space="preserve">Whitney Bank </t>
  </si>
  <si>
    <t xml:space="preserve">Frost Bank </t>
  </si>
  <si>
    <t xml:space="preserve">24-Mths </t>
  </si>
  <si>
    <t>Actual YE</t>
  </si>
  <si>
    <t>Interim</t>
  </si>
  <si>
    <t>2Q26</t>
  </si>
  <si>
    <t>Common Stock/Paid-in Capital</t>
  </si>
  <si>
    <t>Retained Earnings:</t>
  </si>
  <si>
    <t xml:space="preserve">  Beginning RE</t>
  </si>
  <si>
    <t xml:space="preserve">  Earnings</t>
  </si>
  <si>
    <t xml:space="preserve">  Distributions (net Contributions)</t>
  </si>
  <si>
    <t xml:space="preserve">  Ending RE</t>
  </si>
  <si>
    <t>Total Equity</t>
  </si>
  <si>
    <t>Income Statement Analysis</t>
  </si>
  <si>
    <t>Type</t>
  </si>
  <si>
    <t>TTM</t>
  </si>
  <si>
    <t xml:space="preserve">($000's)     </t>
  </si>
  <si>
    <t>HIDE ANY ROWS THAT ARE NOT USED.  HOWEVER, YOU WANT TO SHOW THE READER THAT YOU CONSIDERED THE ANALYSIS</t>
  </si>
  <si>
    <t>Homes Closed</t>
  </si>
  <si>
    <t>Average Sales Price</t>
  </si>
  <si>
    <t>Homes Sales Revenue</t>
  </si>
  <si>
    <t>Land/Lot/Other Sales Revenue</t>
  </si>
  <si>
    <t>Revenues</t>
  </si>
  <si>
    <t>COGS - Home Sales</t>
  </si>
  <si>
    <t>COGS - Land/Lot/Other Sales</t>
  </si>
  <si>
    <t>COGS</t>
  </si>
  <si>
    <t>Gross Profit</t>
  </si>
  <si>
    <t>-  Total Operating Expense</t>
  </si>
  <si>
    <t>expense incurred through normal business operations (rent, equipment, inventory costs, marketing, payroll, insurance, and R&amp;D)</t>
  </si>
  <si>
    <t>-  Other Expense</t>
  </si>
  <si>
    <t>+ Other Income</t>
  </si>
  <si>
    <t>-  Income Tax</t>
  </si>
  <si>
    <t>Net Profit</t>
  </si>
  <si>
    <t>+ Deprec &amp; Amort</t>
  </si>
  <si>
    <t>+ Interest on Homes Sold included in COGS</t>
  </si>
  <si>
    <t>+ Interest Expense</t>
  </si>
  <si>
    <t>a non-operating expense shown on the income statement</t>
  </si>
  <si>
    <t>+ Income Taxes</t>
  </si>
  <si>
    <t>includes tax payable and deferred income tax expenses. It is composed of cash and noncash items.</t>
  </si>
  <si>
    <t>EBITDA</t>
  </si>
  <si>
    <t>-  Cash Income Taxes</t>
  </si>
  <si>
    <t>funds used in the payment of income taxes</t>
  </si>
  <si>
    <t>-  Cash Distributions/(Contributions)</t>
  </si>
  <si>
    <t xml:space="preserve">cash distribution / (contributions) </t>
  </si>
  <si>
    <t xml:space="preserve">-  CAPEX </t>
  </si>
  <si>
    <t>funds used to acquire or upgrade physical assets such as property, buildings, or equipment</t>
  </si>
  <si>
    <t>Cash Flow to Service Debt</t>
  </si>
  <si>
    <r>
      <t>Historical Fixed Charge Coverage</t>
    </r>
    <r>
      <rPr>
        <b/>
        <i/>
        <sz val="8"/>
        <color theme="1"/>
        <rFont val="Arial"/>
        <family val="2"/>
      </rPr>
      <t xml:space="preserve"> (Actual Utilization)</t>
    </r>
  </si>
  <si>
    <t>HFCC for each facility should be close to normal usage or enter actual incurred for each historic period</t>
  </si>
  <si>
    <t xml:space="preserve">Actual Interest Incurred in the Period </t>
  </si>
  <si>
    <t>Enter Loan Type, $, Rate, and Usage for facility in the CELL (B-C-D-E for the Row)</t>
  </si>
  <si>
    <t>Historical Senior Charge Requirement</t>
  </si>
  <si>
    <t>Add any Principal payments (P&amp;I) to the DS if required</t>
  </si>
  <si>
    <t>Historical Excess Cash Flow</t>
  </si>
  <si>
    <t>Historical Fixed Charge Coverage</t>
  </si>
  <si>
    <r>
      <t>Proposed Fixed Charge Coverage</t>
    </r>
    <r>
      <rPr>
        <b/>
        <i/>
        <sz val="8"/>
        <color theme="1"/>
        <rFont val="Arial"/>
        <family val="2"/>
      </rPr>
      <t xml:space="preserve"> (Projected Utilization)</t>
    </r>
  </si>
  <si>
    <r>
      <t>HFCC for each facility should be at Projected Utilization (</t>
    </r>
    <r>
      <rPr>
        <b/>
        <u/>
        <sz val="9"/>
        <color rgb="FFFF0000"/>
        <rFont val="Arial"/>
        <family val="2"/>
      </rPr>
      <t>result s/b same for each reporting period</t>
    </r>
    <r>
      <rPr>
        <b/>
        <sz val="9"/>
        <color rgb="FFFF0000"/>
        <rFont val="Arial"/>
        <family val="2"/>
      </rPr>
      <t>)</t>
    </r>
  </si>
  <si>
    <t>Name</t>
  </si>
  <si>
    <t>Sub Debt</t>
  </si>
  <si>
    <t>Subject</t>
  </si>
  <si>
    <t>Fixed Senior Charge Requirement</t>
  </si>
  <si>
    <t>Proposed Excess Cash Flow</t>
  </si>
  <si>
    <t>Proposed Senior Fixed Charge Coverage</t>
  </si>
  <si>
    <t>)</t>
  </si>
  <si>
    <t>Enter Sub Debt $ and Rate for facility in the CELL (C-D for the Row)</t>
  </si>
  <si>
    <t>Proposed Total Fixed Charge Coverage</t>
  </si>
  <si>
    <t>Unhide Rows 42 through 53 - this analysis should only be shown if the company qualifies as a leveraged company.</t>
  </si>
  <si>
    <t>Capitalized Interest Analysis</t>
  </si>
  <si>
    <t>Beginning Interest Capitalized in Inventory</t>
  </si>
  <si>
    <t>Interest Incurred (+)</t>
  </si>
  <si>
    <t>Interest Expensed (-)</t>
  </si>
  <si>
    <t>Capitalized Interest to COGS (+)</t>
  </si>
  <si>
    <t>Ending Interest Capitalized in Inventory:</t>
  </si>
  <si>
    <t>Sensitized HFCCR (EBITDA)</t>
  </si>
  <si>
    <t>Sensitized HFCCR + 2% on Floating Debt</t>
  </si>
  <si>
    <t>Proposed FCCR at 100% Utilization</t>
  </si>
  <si>
    <t>Proposed FCCR at 100% +1% on Floating Rate</t>
  </si>
  <si>
    <t>Proposed FCCR - 50% Actual CAPEX</t>
  </si>
  <si>
    <t>x</t>
  </si>
  <si>
    <t>Proposed FCCR - 3 yr Avg Deprec.</t>
  </si>
  <si>
    <t>Proposed FCCR - Unfinanced CAPEX</t>
  </si>
  <si>
    <t>Proposed FCCR with 5 YR Amortization</t>
  </si>
  <si>
    <t xml:space="preserve"> Amortize over 5 years &amp; explain in a note below.  If not applicable, hide this line.</t>
  </si>
  <si>
    <t>Proposed FCCR - Embedded Permanent W/C</t>
  </si>
  <si>
    <t>Leverage Analysis</t>
  </si>
  <si>
    <t>Fully Funded Senior Debt Level (Pro-forma)</t>
  </si>
  <si>
    <t xml:space="preserve">   Senior Debt/EBITDA</t>
  </si>
  <si>
    <t>CAPEX SUMMARY:</t>
  </si>
  <si>
    <t>Actual Capital Expenditures</t>
  </si>
  <si>
    <t xml:space="preserve">    x 50% of Actual CAPEX</t>
  </si>
  <si>
    <t>Depreciation Expense (3 yr Avg)</t>
  </si>
  <si>
    <t xml:space="preserve"> 3 yr average of the above 3 Depreciation/Amortization figures.</t>
  </si>
  <si>
    <t>Actual Unfinanced CAPEX</t>
  </si>
  <si>
    <t>Capital Expenditures which are not funded with borrowed money; all Capital Expenditures funded with Line Advances shall be deemed "Unfinanced Capital Expenditures".</t>
  </si>
  <si>
    <t>Amort Embedded Permanent W/C of Line:</t>
  </si>
  <si>
    <t>Breakeven Analysis (on Total Operating Expense)</t>
  </si>
  <si>
    <t>Unhide Rows 54 through 66 - This analysis should only be shown if CAPEX Summary analysis necessary.</t>
  </si>
  <si>
    <t>Closing / Month</t>
  </si>
  <si>
    <t>Breakeven # of Units/Month</t>
  </si>
  <si>
    <t>Velocity above Breakeven</t>
  </si>
  <si>
    <t>Stressed Closings Analysis and Stressed Closings &amp;  Average Sales Price Analysis</t>
  </si>
  <si>
    <t>Enter Stress % in cell B67 - Adjust % to reflect a meaningful measure (not a % that reflects all negative results)</t>
  </si>
  <si>
    <t>Enter Stress % in cell B66</t>
  </si>
  <si>
    <t>Stressed Proposed Senior FCCR</t>
  </si>
  <si>
    <t>Stressed Net Margin</t>
  </si>
  <si>
    <t>Enter Stress % in cell B74 - Adjust % to reflect a meaningful measure (not a % that reflects all negative results)</t>
  </si>
  <si>
    <t>Gross Margin</t>
  </si>
  <si>
    <t>Net Margin</t>
  </si>
  <si>
    <t>CAPEX - Use one (Actual Unfunded, 50% of Actual CAPEX or Depreciation Expense (3 yr Avg)) depending on the size of the company.</t>
  </si>
  <si>
    <t>Entity</t>
  </si>
  <si>
    <t>Preferred</t>
  </si>
  <si>
    <t>Lokal</t>
  </si>
  <si>
    <t>Project</t>
  </si>
  <si>
    <t>Other Activity</t>
  </si>
  <si>
    <t>FACILITY UTILIZATION</t>
  </si>
  <si>
    <t>ABSORPTION SENSITIVITY</t>
  </si>
  <si>
    <t># Units</t>
  </si>
  <si>
    <t>Cost</t>
  </si>
  <si>
    <t>Equity</t>
  </si>
  <si>
    <t>Projected Mthly</t>
  </si>
  <si>
    <t>Deterioration Monthly Absorption</t>
  </si>
  <si>
    <t>Spec/Model</t>
  </si>
  <si>
    <t>Absorption</t>
  </si>
  <si>
    <t>Mths</t>
  </si>
  <si>
    <t>Use Goal Seek to conclude at 4%</t>
  </si>
  <si>
    <t>Average/Unit</t>
  </si>
  <si>
    <t>Decrease</t>
  </si>
  <si>
    <t>SENSITIVITY ANALYSIS</t>
  </si>
  <si>
    <t>Reduction in Unit Closings</t>
  </si>
  <si>
    <t>Breakeven</t>
  </si>
  <si>
    <t>Closings:</t>
  </si>
  <si>
    <t>Revenue:</t>
  </si>
  <si>
    <t>Gross Profit:</t>
  </si>
  <si>
    <t>GPM:</t>
  </si>
  <si>
    <t>Net Profit:</t>
  </si>
  <si>
    <t>Use Goal Seek Function to Conclude Breakeven %</t>
  </si>
  <si>
    <t>NPM:</t>
  </si>
  <si>
    <t>ASP:</t>
  </si>
  <si>
    <t>GP/Unit:</t>
  </si>
  <si>
    <t>NP/Unit:</t>
  </si>
  <si>
    <t>Oper. Cost:</t>
  </si>
  <si>
    <t>Reduction in Revenues</t>
  </si>
  <si>
    <t>Costs:</t>
  </si>
  <si>
    <t>COG &amp; Operations</t>
  </si>
  <si>
    <t>Source of Funds</t>
  </si>
  <si>
    <t>Use of Funds</t>
  </si>
  <si>
    <t>Flagstar Bank - Loan Proceeds</t>
  </si>
  <si>
    <t>Land Purchase</t>
  </si>
  <si>
    <t>Land Equity</t>
  </si>
  <si>
    <t>Cash Equity</t>
  </si>
  <si>
    <t>Soft Costs</t>
  </si>
  <si>
    <t>Hard Costs</t>
  </si>
  <si>
    <t>Loan Fee</t>
  </si>
  <si>
    <t>Interest Reserve</t>
  </si>
  <si>
    <t>Total Source of Funds:</t>
  </si>
  <si>
    <t>Total Use of Funds:</t>
  </si>
  <si>
    <t>LTC:</t>
  </si>
  <si>
    <t>Curtailment Schedule - Original/Approved 7/1/23</t>
  </si>
  <si>
    <t>Curtailment Schedule - Proposed (Changes Highlighted)</t>
  </si>
  <si>
    <t>Amount</t>
  </si>
  <si>
    <t>Aggregate</t>
  </si>
  <si>
    <t>Due Date</t>
  </si>
  <si>
    <t>Status</t>
  </si>
  <si>
    <t>Complete</t>
  </si>
  <si>
    <t>Not Due</t>
  </si>
  <si>
    <t>Remaining Balance Due at Maturity</t>
  </si>
  <si>
    <t>Price</t>
  </si>
  <si>
    <t>Annual</t>
  </si>
  <si>
    <t>Occ</t>
  </si>
  <si>
    <t>Inv</t>
  </si>
  <si>
    <t>Subdivision</t>
  </si>
  <si>
    <t>Area</t>
  </si>
  <si>
    <t>Range</t>
  </si>
  <si>
    <t>Starts</t>
  </si>
  <si>
    <t>Closings</t>
  </si>
  <si>
    <t>Units</t>
  </si>
  <si>
    <t>VDL</t>
  </si>
  <si>
    <t>Future</t>
  </si>
  <si>
    <t>Buffalo Run</t>
  </si>
  <si>
    <t>Adm-Cadm</t>
  </si>
  <si>
    <t>$239-$371</t>
  </si>
  <si>
    <t>Borrower - Reserve</t>
  </si>
  <si>
    <t>$331-$351</t>
  </si>
  <si>
    <t>Borrower - Fairways</t>
  </si>
  <si>
    <t>$321-$371</t>
  </si>
  <si>
    <t>Northgate</t>
  </si>
  <si>
    <t>CSP-Mon</t>
  </si>
  <si>
    <t>$256-$574</t>
  </si>
  <si>
    <t>Borrower - Paired</t>
  </si>
  <si>
    <t>$346-$351</t>
  </si>
  <si>
    <t>Borrower - TH</t>
  </si>
  <si>
    <t>$255-$279</t>
  </si>
  <si>
    <t>Plum Creek</t>
  </si>
  <si>
    <t>Doug-CstRck</t>
  </si>
  <si>
    <t>$378-$700</t>
  </si>
  <si>
    <t>Borrower - Diamond Head</t>
  </si>
  <si>
    <t>$390-$460</t>
  </si>
  <si>
    <t>StoneTree on Smoky Hill</t>
  </si>
  <si>
    <t>Arap-Aurora S</t>
  </si>
  <si>
    <t>$332-$342</t>
  </si>
  <si>
    <t>Welchester Estates</t>
  </si>
  <si>
    <t>Jef-Lakewood</t>
  </si>
  <si>
    <t>$445-$465</t>
  </si>
  <si>
    <t>HOMEBUILDER - MODEL / BUDGET / BREAKEVEN ANALYSIS</t>
  </si>
  <si>
    <t>A</t>
  </si>
  <si>
    <t>Average</t>
  </si>
  <si>
    <t>Use Model Name or Alpha/Numeric Name</t>
  </si>
  <si>
    <t>Square Feet</t>
  </si>
  <si>
    <t>Story</t>
  </si>
  <si>
    <t>Bedrooms</t>
  </si>
  <si>
    <t>Baths</t>
  </si>
  <si>
    <t>Garage Stalls</t>
  </si>
  <si>
    <t>Budget</t>
  </si>
  <si>
    <t>Finished Lot Cost</t>
  </si>
  <si>
    <t>Lot Development/Other Cost</t>
  </si>
  <si>
    <t>Lot Loan Interest Reserve/Carry</t>
  </si>
  <si>
    <t>Permits and Fees</t>
  </si>
  <si>
    <t>Arch &amp; Structural Design</t>
  </si>
  <si>
    <t>Other Soft Costs</t>
  </si>
  <si>
    <t>Hard Construction Costs</t>
  </si>
  <si>
    <t>Indirects</t>
  </si>
  <si>
    <t>Builders Risk &amp; Liability Ins.</t>
  </si>
  <si>
    <t>RE Taxes</t>
  </si>
  <si>
    <t>G&amp;A Overhead / Mgmt-Dev Fee</t>
  </si>
  <si>
    <t>Models/Marketing</t>
  </si>
  <si>
    <t>Financing Expense</t>
  </si>
  <si>
    <t>Base Cost</t>
  </si>
  <si>
    <t>Base Sales Price / Value</t>
  </si>
  <si>
    <t>Base Model Profit Margin</t>
  </si>
  <si>
    <t>Concessions/Discounts</t>
  </si>
  <si>
    <t>Options / Upgrades / Premiums</t>
  </si>
  <si>
    <t>of Base Sales Price</t>
  </si>
  <si>
    <t>Cost of Options/Upgrades</t>
  </si>
  <si>
    <t>Profit Margin on Options</t>
  </si>
  <si>
    <t>Profits (+Avg Options)</t>
  </si>
  <si>
    <t>Profit Margin Including Avg Options</t>
  </si>
  <si>
    <t>Commissions / Closing Costs</t>
  </si>
  <si>
    <t>HOA</t>
  </si>
  <si>
    <t>Deferred Loan/Equity Fee</t>
  </si>
  <si>
    <t xml:space="preserve">Warranty Reserve/Fee </t>
  </si>
  <si>
    <t>Profits after Closing Costs</t>
  </si>
  <si>
    <r>
      <t xml:space="preserve">VERTICAL CONSTRUCTION PERIOD </t>
    </r>
    <r>
      <rPr>
        <b/>
        <i/>
        <sz val="9"/>
        <rFont val="Arial"/>
        <family val="2"/>
      </rPr>
      <t>(Interest Rate Analysis):</t>
    </r>
  </si>
  <si>
    <t>Est. Average Base (Appraised) Value</t>
  </si>
  <si>
    <t>Average Unit Loan Amount</t>
  </si>
  <si>
    <t>Vertical Loan Term / Mths</t>
  </si>
  <si>
    <t>Construction Cycle (mths)</t>
  </si>
  <si>
    <t>Max Adv-Presold (Lesser LTC/LTV)</t>
  </si>
  <si>
    <t>Average Loan Balance</t>
  </si>
  <si>
    <t>Breakeven Income w/Options, Based on Costs:</t>
  </si>
  <si>
    <t>Interest Rate/Interest</t>
  </si>
  <si>
    <t>Sales Price + Options / SF</t>
  </si>
  <si>
    <t>Cycle Interest/Month</t>
  </si>
  <si>
    <t>Budget Mths Coverage</t>
  </si>
  <si>
    <t>% Decline Possible</t>
  </si>
  <si>
    <t>Breakeven Income w/Options, Based on Loan Amount:</t>
  </si>
  <si>
    <t>SUGGESTED INT. RESERVE/TERM</t>
  </si>
  <si>
    <t>Budget Int. Reserve</t>
  </si>
  <si>
    <t>Cushion (Shortage)</t>
  </si>
  <si>
    <t>Interest % of Budget</t>
  </si>
  <si>
    <t>Base Revenue</t>
  </si>
  <si>
    <t>Base COS</t>
  </si>
  <si>
    <t>Base Gross Profit</t>
  </si>
  <si>
    <t>Base Margin</t>
  </si>
  <si>
    <t>Margin</t>
  </si>
  <si>
    <t>Total Revenue</t>
  </si>
  <si>
    <t>Total Costs</t>
  </si>
  <si>
    <t>Value/SF</t>
  </si>
  <si>
    <t>Cost/SF</t>
  </si>
  <si>
    <r>
      <t xml:space="preserve">Sale Prices </t>
    </r>
    <r>
      <rPr>
        <sz val="11"/>
        <color rgb="FFFF0000"/>
        <rFont val="Arial"/>
        <family val="2"/>
      </rPr>
      <t>(in</t>
    </r>
    <r>
      <rPr>
        <u/>
        <sz val="11"/>
        <color rgb="FFFF0000"/>
        <rFont val="Arial"/>
        <family val="2"/>
      </rPr>
      <t>cluding</t>
    </r>
    <r>
      <rPr>
        <u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options and premiums) could drop by an average </t>
    </r>
    <r>
      <rPr>
        <u/>
        <sz val="11"/>
        <color rgb="FFFF0000"/>
        <rFont val="Arial"/>
        <family val="2"/>
      </rPr>
      <t>10.7%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(range of </t>
    </r>
    <r>
      <rPr>
        <u/>
        <sz val="11"/>
        <color rgb="FFFF0000"/>
        <rFont val="Arial"/>
        <family val="2"/>
      </rPr>
      <t>10.6% to 10.9%</t>
    </r>
    <r>
      <rPr>
        <sz val="11"/>
        <color theme="1"/>
        <rFont val="Arial"/>
        <family val="2"/>
      </rPr>
      <t>) and still cover costs at a break-even level.</t>
    </r>
  </si>
  <si>
    <r>
      <t>Sale Prices (</t>
    </r>
    <r>
      <rPr>
        <sz val="11"/>
        <color rgb="FFFF0000"/>
        <rFont val="Arial"/>
        <family val="2"/>
      </rPr>
      <t>in</t>
    </r>
    <r>
      <rPr>
        <u/>
        <sz val="11"/>
        <color rgb="FFFF0000"/>
        <rFont val="Arial"/>
        <family val="2"/>
      </rPr>
      <t xml:space="preserve">cluding </t>
    </r>
    <r>
      <rPr>
        <sz val="11"/>
        <color theme="1"/>
        <rFont val="Arial"/>
        <family val="2"/>
      </rPr>
      <t xml:space="preserve">options and premiums) could drop by an average </t>
    </r>
    <r>
      <rPr>
        <u/>
        <sz val="11"/>
        <color rgb="FFFF0000"/>
        <rFont val="Arial"/>
        <family val="2"/>
      </rPr>
      <t>30.0%</t>
    </r>
    <r>
      <rPr>
        <sz val="11"/>
        <color theme="1"/>
        <rFont val="Arial"/>
        <family val="2"/>
      </rPr>
      <t xml:space="preserve"> (range of </t>
    </r>
    <r>
      <rPr>
        <u/>
        <sz val="11"/>
        <color rgb="FFFF0000"/>
        <rFont val="Arial"/>
        <family val="2"/>
      </rPr>
      <t>29.9%</t>
    </r>
    <r>
      <rPr>
        <u/>
        <sz val="11"/>
        <color theme="1"/>
        <rFont val="Arial"/>
        <family val="2"/>
      </rPr>
      <t xml:space="preserve"> to </t>
    </r>
    <r>
      <rPr>
        <u/>
        <sz val="11"/>
        <color rgb="FFFF0000"/>
        <rFont val="Arial"/>
        <family val="2"/>
      </rPr>
      <t>30.1%</t>
    </r>
    <r>
      <rPr>
        <sz val="11"/>
        <color theme="1"/>
        <rFont val="Arial"/>
        <family val="2"/>
      </rPr>
      <t>) and still cover the loan amount at a break-even level.</t>
    </r>
  </si>
  <si>
    <t>Homebuilder Contract Analysis</t>
  </si>
  <si>
    <t>Homebuilder</t>
  </si>
  <si>
    <t>Unsold</t>
  </si>
  <si>
    <t>Public/Private</t>
  </si>
  <si>
    <t>Public</t>
  </si>
  <si>
    <t>Private</t>
  </si>
  <si>
    <t>Public Rating</t>
  </si>
  <si>
    <t>AA-</t>
  </si>
  <si>
    <t>aa-</t>
  </si>
  <si>
    <t>NA</t>
  </si>
  <si>
    <t>Builder Ranking (Builder 100)</t>
  </si>
  <si>
    <t>Builderonline.com</t>
  </si>
  <si>
    <t>Contract Date</t>
  </si>
  <si>
    <t>Contracts must be in Bank's possession</t>
  </si>
  <si>
    <t>Lots Contracted</t>
  </si>
  <si>
    <t>Balance to Total Below</t>
  </si>
  <si>
    <t>Percent of Project</t>
  </si>
  <si>
    <t>Deposit Amount</t>
  </si>
  <si>
    <t>Full Deposit Amount</t>
  </si>
  <si>
    <t>Please Consider all amendments</t>
  </si>
  <si>
    <t>Deposit Paid (Y/N/%)</t>
  </si>
  <si>
    <t>Yes</t>
  </si>
  <si>
    <t>No</t>
  </si>
  <si>
    <t>100% Deposit Paid to Borrower (note otherwise and comment)</t>
  </si>
  <si>
    <t xml:space="preserve">Lot Frontage (ft): </t>
  </si>
  <si>
    <t xml:space="preserve">Lots: </t>
  </si>
  <si>
    <t>This section can be modified to include specific lot types or additional variations</t>
  </si>
  <si>
    <t xml:space="preserve">Lot Price: </t>
  </si>
  <si>
    <t>Total Lot Price</t>
  </si>
  <si>
    <t>Must Total Actual Contract Price (note special terms/conditions below chart)</t>
  </si>
  <si>
    <t>Profit Participation/Lot</t>
  </si>
  <si>
    <t>Total Contract Price</t>
  </si>
  <si>
    <t>Rolling Option Contract</t>
  </si>
  <si>
    <t>This section can be modified to include options by phase</t>
  </si>
  <si>
    <t xml:space="preserve">Initial Purchase Date: </t>
  </si>
  <si>
    <t xml:space="preserve">Single/One Time Lot Purchase </t>
  </si>
  <si>
    <t xml:space="preserve">Option Date: </t>
  </si>
  <si>
    <t>Rolling Option Lot Purchase Terms</t>
  </si>
  <si>
    <t>Balance to Total Above (less unsold)</t>
  </si>
  <si>
    <t>Sold</t>
  </si>
  <si>
    <t>MARKET SNAPSHOT</t>
  </si>
  <si>
    <t>(MetroStudy)</t>
  </si>
  <si>
    <t>MSA</t>
  </si>
  <si>
    <t>MARKET AREAS</t>
  </si>
  <si>
    <t>Market Area</t>
  </si>
  <si>
    <t>PHOENIX</t>
  </si>
  <si>
    <t>C VALLEY</t>
  </si>
  <si>
    <t>NE VALLEY</t>
  </si>
  <si>
    <t>NW VALLEY</t>
  </si>
  <si>
    <t>SE VALLEY</t>
  </si>
  <si>
    <t>SW VALLEY</t>
  </si>
  <si>
    <t>PINAL CTY</t>
  </si>
  <si>
    <t>Annual Starts</t>
  </si>
  <si>
    <t>Annual Closings</t>
  </si>
  <si>
    <t>Total Inventory</t>
  </si>
  <si>
    <t>MOS - 4Q16</t>
  </si>
  <si>
    <t>Tot Inv/Ann Clos/12</t>
  </si>
  <si>
    <t>MOS - 3Q16</t>
  </si>
  <si>
    <t>MOS - 2Q16</t>
  </si>
  <si>
    <t>MOS - 1Q16</t>
  </si>
  <si>
    <t>MOS - 4Q15</t>
  </si>
  <si>
    <t>MOS - 2Q15</t>
  </si>
  <si>
    <t>MOS - 1Q15</t>
  </si>
  <si>
    <t>Finished Vacant Units (FV)</t>
  </si>
  <si>
    <t>FV/Ann Clos/12</t>
  </si>
  <si>
    <t>Vacant Developed Lots (VDL)</t>
  </si>
  <si>
    <t>VDL/Ann Starts/12</t>
  </si>
  <si>
    <t>Total inventory MOS equilibrium = 8 months</t>
  </si>
  <si>
    <t>FV inventory MOS equilibirum = 2 months</t>
  </si>
  <si>
    <t>VDL inventory MOS equilibrium = 24 months</t>
  </si>
  <si>
    <t>Historic Housing Activity Reports</t>
  </si>
  <si>
    <t>Cash Flow / Tax Analysis -              Combined (000's)</t>
  </si>
  <si>
    <t>Company</t>
  </si>
  <si>
    <t>Guarantor Combined</t>
  </si>
  <si>
    <t>Tax Year</t>
  </si>
  <si>
    <t>AGI</t>
  </si>
  <si>
    <t>Gross Cash Flow</t>
  </si>
  <si>
    <t>Net CF Avail to Service Debt</t>
  </si>
  <si>
    <t>Net Cash - after Operations / Avail. for DS</t>
  </si>
  <si>
    <t xml:space="preserve">Cash Avail. to Service Request </t>
  </si>
  <si>
    <t>Adjusted Balance Sheet Analysis - Combined (000's)</t>
  </si>
  <si>
    <t>PFS Date</t>
  </si>
  <si>
    <t>Date</t>
  </si>
  <si>
    <t>ASSETS</t>
  </si>
  <si>
    <t>Marketable Securities</t>
  </si>
  <si>
    <t>Retirement Accts</t>
  </si>
  <si>
    <t>Current Assets</t>
  </si>
  <si>
    <t>Current Asset Total</t>
  </si>
  <si>
    <t>Personal Residences</t>
  </si>
  <si>
    <t>Personal Property</t>
  </si>
  <si>
    <t>RE Partnership Equity</t>
  </si>
  <si>
    <t>Business Interest</t>
  </si>
  <si>
    <t>Non Current Assets</t>
  </si>
  <si>
    <t>Personal Notes / Note Receivables</t>
  </si>
  <si>
    <t>TOTAL ASSETS</t>
  </si>
  <si>
    <t>Restricted Assets</t>
  </si>
  <si>
    <t>TOTAL ASSETS (less Restricted Assets)</t>
  </si>
  <si>
    <t>LIABILITIES</t>
  </si>
  <si>
    <t>Current Liability Total</t>
  </si>
  <si>
    <t>Long-Term Debt Total</t>
  </si>
  <si>
    <t>All Other Liabilities</t>
  </si>
  <si>
    <t>TOTAL LIABILITIES</t>
  </si>
  <si>
    <t xml:space="preserve">NET WORTH </t>
  </si>
  <si>
    <r>
      <t>FICO (</t>
    </r>
    <r>
      <rPr>
        <b/>
        <i/>
        <sz val="10"/>
        <rFont val="Arial Narrow"/>
        <family val="2"/>
      </rPr>
      <t>2021</t>
    </r>
    <r>
      <rPr>
        <b/>
        <sz val="10"/>
        <rFont val="Arial Narrow"/>
        <family val="2"/>
      </rPr>
      <t>):</t>
    </r>
  </si>
  <si>
    <t>ACTIVITY and INVENTORY REPORT</t>
  </si>
  <si>
    <t>Lot</t>
  </si>
  <si>
    <t>Occupied</t>
  </si>
  <si>
    <t>Inventory</t>
  </si>
  <si>
    <t>Absorption/Mth</t>
  </si>
  <si>
    <t>Supply (Mths)</t>
  </si>
  <si>
    <t>Sub-Market</t>
  </si>
  <si>
    <t>Size</t>
  </si>
  <si>
    <t>Mod</t>
  </si>
  <si>
    <t>F/V</t>
  </si>
  <si>
    <t>U/C</t>
  </si>
  <si>
    <t>Centerra/Lakes</t>
  </si>
  <si>
    <t>Lar-Loveland</t>
  </si>
  <si>
    <t>75'</t>
  </si>
  <si>
    <t>$495-$540m</t>
  </si>
  <si>
    <t>Centerra/Lakes (Patio)</t>
  </si>
  <si>
    <t>70'</t>
  </si>
  <si>
    <t>$470-$500m</t>
  </si>
  <si>
    <t>Lowry/Boulevard One</t>
  </si>
  <si>
    <t>Den-SE Denver</t>
  </si>
  <si>
    <t>45'</t>
  </si>
  <si>
    <t>$650-$750m</t>
  </si>
  <si>
    <t>Stapleton/Westerly Ck</t>
  </si>
  <si>
    <t>Den-Stapleton</t>
  </si>
  <si>
    <t>25'</t>
  </si>
  <si>
    <t>$406-$435m</t>
  </si>
  <si>
    <t>Stapleton N/Cons Green</t>
  </si>
  <si>
    <t>$347-$399m</t>
  </si>
  <si>
    <t>Stapleton N/Conser Green</t>
  </si>
  <si>
    <t>40'</t>
  </si>
  <si>
    <t>$321-$373m</t>
  </si>
  <si>
    <t>Stapleton N/Willow Park E</t>
  </si>
  <si>
    <t>$339-$417m</t>
  </si>
  <si>
    <t>$355-$435m</t>
  </si>
  <si>
    <t>McKay Shores</t>
  </si>
  <si>
    <t>Brm-CBrm</t>
  </si>
  <si>
    <t>$389-$500m</t>
  </si>
  <si>
    <t xml:space="preserve">TOTALS:  </t>
  </si>
  <si>
    <t>ACTIVITY and INVENTORY REPORT by PRODUCT TYPE</t>
  </si>
  <si>
    <t>Avg. Price</t>
  </si>
  <si>
    <t>SF</t>
  </si>
  <si>
    <t>$/SF</t>
  </si>
  <si>
    <t>Single Family</t>
  </si>
  <si>
    <t>TH/Plex/Other</t>
  </si>
  <si>
    <t>Condominium</t>
  </si>
  <si>
    <t>`</t>
  </si>
  <si>
    <t>Competitive Market Analysis:</t>
  </si>
  <si>
    <t>Subdivision/Builder</t>
  </si>
  <si>
    <t>$300-$450m</t>
  </si>
  <si>
    <t>60'</t>
  </si>
  <si>
    <t>Comp</t>
  </si>
  <si>
    <t>Home Builder Financing</t>
  </si>
  <si>
    <t>Land Acquisition &amp; Development Budget</t>
  </si>
  <si>
    <t>Project Name</t>
  </si>
  <si>
    <t>Lot Total:</t>
  </si>
  <si>
    <t>Contribution</t>
  </si>
  <si>
    <t>A&amp;D</t>
  </si>
  <si>
    <t xml:space="preserve">Conforming </t>
  </si>
  <si>
    <t>Mezzanine</t>
  </si>
  <si>
    <t>Budget Items</t>
  </si>
  <si>
    <t>/ Lot</t>
  </si>
  <si>
    <t>Initial</t>
  </si>
  <si>
    <t>Deferred</t>
  </si>
  <si>
    <t>Loan</t>
  </si>
  <si>
    <t>/Lot</t>
  </si>
  <si>
    <t>Land Acquisition Costs</t>
  </si>
  <si>
    <t>Land Acquisition</t>
  </si>
  <si>
    <t>Total Acquisition Costs</t>
  </si>
  <si>
    <t>Land Development Costs</t>
  </si>
  <si>
    <t>PreDevelopment</t>
  </si>
  <si>
    <t>Infrastructure</t>
  </si>
  <si>
    <t>Intract Improvements</t>
  </si>
  <si>
    <t>Contingency</t>
  </si>
  <si>
    <t>Total Land Development Costs</t>
  </si>
  <si>
    <t>HBF A&amp;D Financing Costs</t>
  </si>
  <si>
    <t xml:space="preserve"> A&amp;D Loan Points</t>
  </si>
  <si>
    <t>A&amp;D Loan Interest</t>
  </si>
  <si>
    <t>A&amp;D Loan Legal</t>
  </si>
  <si>
    <t>A&amp;D Engineer/Inspection</t>
  </si>
  <si>
    <t>A&amp;D Loan Appraisal</t>
  </si>
  <si>
    <t xml:space="preserve"> A&amp;D Closing Costs</t>
  </si>
  <si>
    <t>Total A&amp;D Financing Costs</t>
  </si>
  <si>
    <t>General &amp; Administrative Expense</t>
  </si>
  <si>
    <t xml:space="preserve">Indirect Construction </t>
  </si>
  <si>
    <t>Sales &amp; Marketing Expense</t>
  </si>
  <si>
    <t>Total  Indirect Costs</t>
  </si>
  <si>
    <t>Total A&amp;D/Indirect Costs</t>
  </si>
  <si>
    <t>Conforming Loan</t>
  </si>
  <si>
    <t>Mezzanine Loan</t>
  </si>
  <si>
    <t>Modification</t>
  </si>
  <si>
    <t>Modified By:</t>
  </si>
  <si>
    <t>Added formula modifications requested by Matthew Bushman 1/17/25. No material changes.</t>
  </si>
  <si>
    <t>Jim Freeman</t>
  </si>
  <si>
    <t>Updated Borrowing Base table to the correct format. Material Change.</t>
  </si>
  <si>
    <t>Removed Accordion formulas on Bank Group Exposure page. References were incorrect and misleading.</t>
  </si>
  <si>
    <t>Figures in heat map were not as approved. Corrected to approved heat map</t>
  </si>
  <si>
    <t>Updated Borrowing Base, Collateral Value, and Income Statement tabs with recommendations from Senior Credit Officer.  Minor updates to formatting for most tables and charts.</t>
  </si>
  <si>
    <t>Russ Valencia</t>
  </si>
  <si>
    <t>Reviewed and approved by Senior Credit Officer.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</si>
</sst>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/d/yy;@"/>
    <numFmt numFmtId="166" formatCode="_(* #,##0_);_(* \(#,##0\);_(* &quot;-&quot;??_);_(@_)"/>
    <numFmt numFmtId="167" formatCode="0.0%"/>
    <numFmt numFmtId="168" formatCode="&quot;$&quot;#,##0"/>
    <numFmt numFmtId="169" formatCode="&quot;Closings Stressed&quot;\ 0.0%"/>
    <numFmt numFmtId="170" formatCode="&quot;$&quot;#,##0.000"/>
    <numFmt numFmtId="171" formatCode="&quot;Closings &amp; Sales $ Stressed - &quot;0.0%&quot;:&quot;"/>
    <numFmt numFmtId="172" formatCode="&quot;Closings &amp; Price Stressed - &quot;0.0%&quot;:&quot;"/>
    <numFmt numFmtId="173" formatCode="&quot;Closings Stressed - &quot;0.0%&quot;:&quot;"/>
    <numFmt numFmtId="174" formatCode="&quot;$&quot;#,##0.00"/>
    <numFmt numFmtId="175" formatCode="_(* #,##0.0_);_(* \(#,##0.0\);_(* &quot;-&quot;?_);_(@_)"/>
    <numFmt numFmtId="176" formatCode="&quot; Usage &quot;0.0%&quot;:&quot;"/>
    <numFmt numFmtId="177" formatCode="0.00%\,"/>
    <numFmt numFmtId="178" formatCode="&quot;(&quot;&quot;$&quot;##.0&quot;MM, &quot;"/>
    <numFmt numFmtId="179" formatCode="&quot;Util. &quot;0%&quot;):&quot;"/>
    <numFmt numFmtId="180" formatCode="_(&quot;$&quot;* #,##0.000_);_(&quot;$&quot;* \(#,##0.000\);_(&quot;$&quot;* &quot;-&quot;??_);_(@_)"/>
    <numFmt numFmtId="181" formatCode="&quot;YTD (&quot;#\ &quot;Mths)&quot;"/>
    <numFmt numFmtId="182" formatCode="General_)"/>
    <numFmt numFmtId="183" formatCode="##\'"/>
    <numFmt numFmtId="184" formatCode="&quot;Contingency (&quot;0.0%\ &quot;of hard cost)&quot;"/>
    <numFmt numFmtId="185" formatCode="&quot;$&quot;0&quot;/sf&quot;"/>
    <numFmt numFmtId="186" formatCode="&quot;Max Advance-Presold (LTV &quot;00%&quot;)&quot;"/>
    <numFmt numFmtId="187" formatCode="&quot;Max Advance-Presold (LTC &quot;00%&quot;)&quot;"/>
    <numFmt numFmtId="188" formatCode="&quot;Breakeven Price/sf (w/&quot;0.0%\ &quot;Sale Cost)&quot;"/>
    <numFmt numFmtId="189" formatCode="0.0"/>
    <numFmt numFmtId="190" formatCode="mmmm\ d\,\ yyyy"/>
    <numFmt numFmtId="191" formatCode="0&quot;.&quot;"/>
    <numFmt numFmtId="192" formatCode="#,##0.0"/>
    <numFmt numFmtId="193" formatCode="0.00&quot;x&quot;"/>
  </numFmts>
  <fonts count="1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i/>
      <sz val="6"/>
      <color rgb="FF0000FF"/>
      <name val="Arial Narrow"/>
      <family val="2"/>
    </font>
    <font>
      <sz val="6"/>
      <name val="Arial Narrow"/>
      <family val="2"/>
    </font>
    <font>
      <b/>
      <sz val="6"/>
      <name val="Arial Narrow"/>
      <family val="2"/>
    </font>
    <font>
      <i/>
      <sz val="10"/>
      <color rgb="FFFF0000"/>
      <name val="Arial"/>
      <family val="2"/>
    </font>
    <font>
      <b/>
      <sz val="6"/>
      <color theme="1"/>
      <name val="Arial Narrow"/>
      <family val="2"/>
    </font>
    <font>
      <b/>
      <i/>
      <sz val="10"/>
      <color theme="1"/>
      <name val="Arial"/>
      <family val="2"/>
    </font>
    <font>
      <i/>
      <sz val="6"/>
      <color theme="1"/>
      <name val="Arial Narrow"/>
      <family val="2"/>
    </font>
    <font>
      <b/>
      <sz val="10"/>
      <color rgb="FFFF0000"/>
      <name val="Arial"/>
      <family val="2"/>
    </font>
    <font>
      <b/>
      <i/>
      <sz val="6"/>
      <color theme="1"/>
      <name val="Arial Narrow"/>
      <family val="2"/>
    </font>
    <font>
      <b/>
      <i/>
      <sz val="10"/>
      <name val="Arial"/>
      <family val="2"/>
    </font>
    <font>
      <sz val="6"/>
      <color theme="1"/>
      <name val="Arial Narrow"/>
      <family val="2"/>
    </font>
    <font>
      <b/>
      <i/>
      <sz val="10"/>
      <color rgb="FF0070C0"/>
      <name val="Arial"/>
      <family val="2"/>
    </font>
    <font>
      <i/>
      <sz val="9"/>
      <color rgb="FF0070C0"/>
      <name val="Arial"/>
      <family val="2"/>
    </font>
    <font>
      <u/>
      <sz val="11"/>
      <color theme="1"/>
      <name val="Aptos Narrow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8" tint="-0.249977111117893"/>
      <name val="Arial"/>
      <family val="2"/>
    </font>
    <font>
      <b/>
      <u/>
      <sz val="9"/>
      <color theme="1"/>
      <name val="Arial"/>
      <family val="2"/>
    </font>
    <font>
      <i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b/>
      <i/>
      <sz val="9"/>
      <color rgb="FFFF000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b/>
      <i/>
      <sz val="9"/>
      <color rgb="FF0000FF"/>
      <name val="Arial"/>
      <family val="2"/>
    </font>
    <font>
      <b/>
      <u/>
      <sz val="9"/>
      <color rgb="FFFF0000"/>
      <name val="Arial"/>
      <family val="2"/>
    </font>
    <font>
      <i/>
      <sz val="9"/>
      <color rgb="FF000000"/>
      <name val="Arial"/>
      <family val="2"/>
    </font>
    <font>
      <i/>
      <sz val="12"/>
      <color theme="1"/>
      <name val="Arial"/>
      <family val="2"/>
    </font>
    <font>
      <i/>
      <sz val="9"/>
      <color rgb="FF111111"/>
      <name val="Arial"/>
      <family val="2"/>
    </font>
    <font>
      <u/>
      <sz val="11"/>
      <color theme="10"/>
      <name val="Aptos Narrow"/>
      <family val="2"/>
      <scheme val="minor"/>
    </font>
    <font>
      <sz val="9"/>
      <color rgb="FF000000"/>
      <name val="Arial"/>
      <family val="2"/>
    </font>
    <font>
      <b/>
      <sz val="8"/>
      <name val="Arial"/>
      <family val="2"/>
    </font>
    <font>
      <b/>
      <sz val="8"/>
      <color rgb="FF0000FF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color rgb="FF0000FF"/>
      <name val="Arial"/>
      <family val="2"/>
    </font>
    <font>
      <b/>
      <sz val="10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i/>
      <sz val="8"/>
      <color rgb="FF0000FF"/>
      <name val="Arial"/>
      <family val="2"/>
    </font>
    <font>
      <b/>
      <sz val="8"/>
      <color indexed="8"/>
      <name val="Arial"/>
      <family val="2"/>
    </font>
    <font>
      <b/>
      <strike/>
      <sz val="8"/>
      <color theme="1"/>
      <name val="Arial"/>
      <family val="2"/>
    </font>
    <font>
      <sz val="8"/>
      <color rgb="FF0000FF"/>
      <name val="Arial"/>
      <family val="2"/>
    </font>
    <font>
      <b/>
      <i/>
      <sz val="8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u/>
      <sz val="8"/>
      <color indexed="8"/>
      <name val="Arial"/>
      <family val="2"/>
    </font>
    <font>
      <i/>
      <u/>
      <sz val="8"/>
      <color indexed="8"/>
      <name val="Arial"/>
      <family val="2"/>
    </font>
    <font>
      <b/>
      <i/>
      <sz val="8"/>
      <color indexed="48"/>
      <name val="Arial"/>
      <family val="2"/>
    </font>
    <font>
      <sz val="8"/>
      <color indexed="12"/>
      <name val="Arial"/>
      <family val="2"/>
    </font>
    <font>
      <b/>
      <u/>
      <sz val="10"/>
      <color rgb="FFC00000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b/>
      <u/>
      <sz val="10"/>
      <color rgb="FF005EA4"/>
      <name val="Arial"/>
      <family val="2"/>
    </font>
    <font>
      <b/>
      <sz val="10"/>
      <color rgb="FF005EA4"/>
      <name val="Arial"/>
      <family val="2"/>
    </font>
    <font>
      <sz val="10"/>
      <color rgb="FF005EA4"/>
      <name val="Arial"/>
      <family val="2"/>
    </font>
    <font>
      <sz val="10"/>
      <color rgb="FFC00000"/>
      <name val="Arial"/>
      <family val="2"/>
    </font>
    <font>
      <i/>
      <sz val="6"/>
      <color rgb="FF0000FF"/>
      <name val="Arial Narrow"/>
      <family val="2"/>
    </font>
    <font>
      <u/>
      <sz val="9"/>
      <color rgb="FFFF0000"/>
      <name val="Arial"/>
      <family val="2"/>
    </font>
    <font>
      <b/>
      <i/>
      <u/>
      <sz val="9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i/>
      <sz val="10"/>
      <color rgb="FF0070C0"/>
      <name val="Arial"/>
      <family val="2"/>
    </font>
    <font>
      <b/>
      <sz val="10"/>
      <color rgb="FFFFC000"/>
      <name val="Arial"/>
      <family val="2"/>
    </font>
    <font>
      <u/>
      <sz val="11"/>
      <color rgb="FF0070C0"/>
      <name val="Aptos Narrow"/>
      <family val="2"/>
      <scheme val="minor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9"/>
      <color theme="8" tint="-0.249977111117893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9.5"/>
      <name val="Arial Narrow"/>
      <family val="2"/>
    </font>
    <font>
      <sz val="8"/>
      <name val="Arial Narrow"/>
      <family val="2"/>
    </font>
    <font>
      <b/>
      <i/>
      <sz val="9.5"/>
      <name val="Arial Narrow"/>
      <family val="2"/>
    </font>
    <font>
      <b/>
      <sz val="9.5"/>
      <name val="Arial Narrow"/>
      <family val="2"/>
    </font>
    <font>
      <i/>
      <sz val="9.5"/>
      <name val="Arial Narrow"/>
      <family val="2"/>
    </font>
    <font>
      <i/>
      <sz val="8"/>
      <name val="Arial Narrow"/>
      <family val="2"/>
    </font>
    <font>
      <vertAlign val="superscript"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5" fillId="0" borderId="0" applyNumberFormat="0" applyFill="0" applyBorder="0" applyAlignment="0" applyProtection="0"/>
    <xf numFmtId="0" fontId="8" fillId="0" borderId="0"/>
  </cellStyleXfs>
  <cellXfs count="230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61" xfId="0" applyFont="1" applyBorder="1"/>
    <xf numFmtId="0" fontId="9" fillId="4" borderId="0" xfId="0" applyFont="1" applyFill="1"/>
    <xf numFmtId="0" fontId="4" fillId="4" borderId="0" xfId="0" applyFont="1" applyFill="1"/>
    <xf numFmtId="0" fontId="14" fillId="0" borderId="0" xfId="0" applyFont="1"/>
    <xf numFmtId="0" fontId="14" fillId="0" borderId="0" xfId="0" applyFont="1" applyAlignment="1">
      <alignment horizontal="center"/>
    </xf>
    <xf numFmtId="0" fontId="18" fillId="0" borderId="0" xfId="0" applyFont="1"/>
    <xf numFmtId="0" fontId="4" fillId="0" borderId="9" xfId="0" applyFont="1" applyBorder="1"/>
    <xf numFmtId="0" fontId="4" fillId="0" borderId="0" xfId="0" applyFont="1" applyProtection="1">
      <protection locked="0"/>
    </xf>
    <xf numFmtId="0" fontId="8" fillId="8" borderId="7" xfId="0" applyFont="1" applyFill="1" applyBorder="1"/>
    <xf numFmtId="0" fontId="8" fillId="8" borderId="0" xfId="0" applyFont="1" applyFill="1" applyProtection="1">
      <protection locked="0"/>
    </xf>
    <xf numFmtId="0" fontId="23" fillId="0" borderId="65" xfId="0" quotePrefix="1" applyFont="1" applyBorder="1" applyAlignment="1" applyProtection="1">
      <alignment horizontal="center" vertical="center"/>
      <protection locked="0"/>
    </xf>
    <xf numFmtId="164" fontId="8" fillId="8" borderId="7" xfId="2" applyNumberFormat="1" applyFont="1" applyFill="1" applyBorder="1" applyProtection="1">
      <protection locked="0"/>
    </xf>
    <xf numFmtId="164" fontId="8" fillId="8" borderId="0" xfId="2" applyNumberFormat="1" applyFont="1" applyFill="1" applyBorder="1" applyProtection="1">
      <protection locked="0"/>
    </xf>
    <xf numFmtId="164" fontId="8" fillId="8" borderId="65" xfId="2" applyNumberFormat="1" applyFont="1" applyFill="1" applyBorder="1" applyProtection="1">
      <protection locked="0"/>
    </xf>
    <xf numFmtId="164" fontId="4" fillId="8" borderId="1" xfId="2" applyNumberFormat="1" applyFont="1" applyFill="1" applyBorder="1" applyProtection="1">
      <protection locked="0"/>
    </xf>
    <xf numFmtId="164" fontId="4" fillId="8" borderId="61" xfId="2" applyNumberFormat="1" applyFont="1" applyFill="1" applyBorder="1" applyProtection="1">
      <protection locked="0"/>
    </xf>
    <xf numFmtId="0" fontId="10" fillId="8" borderId="0" xfId="0" applyFont="1" applyFill="1" applyProtection="1">
      <protection locked="0"/>
    </xf>
    <xf numFmtId="164" fontId="4" fillId="8" borderId="7" xfId="2" applyNumberFormat="1" applyFont="1" applyFill="1" applyBorder="1" applyProtection="1">
      <protection locked="0"/>
    </xf>
    <xf numFmtId="164" fontId="4" fillId="8" borderId="65" xfId="2" applyNumberFormat="1" applyFont="1" applyFill="1" applyBorder="1" applyProtection="1">
      <protection locked="0"/>
    </xf>
    <xf numFmtId="0" fontId="8" fillId="8" borderId="0" xfId="0" applyFont="1" applyFill="1"/>
    <xf numFmtId="0" fontId="24" fillId="8" borderId="65" xfId="0" applyFont="1" applyFill="1" applyBorder="1" applyProtection="1">
      <protection locked="0"/>
    </xf>
    <xf numFmtId="0" fontId="21" fillId="8" borderId="7" xfId="0" applyFont="1" applyFill="1" applyBorder="1"/>
    <xf numFmtId="0" fontId="8" fillId="8" borderId="34" xfId="0" applyFont="1" applyFill="1" applyBorder="1"/>
    <xf numFmtId="0" fontId="26" fillId="0" borderId="0" xfId="0" applyFont="1"/>
    <xf numFmtId="0" fontId="4" fillId="0" borderId="7" xfId="0" applyFont="1" applyBorder="1"/>
    <xf numFmtId="0" fontId="6" fillId="8" borderId="7" xfId="0" applyFont="1" applyFill="1" applyBorder="1"/>
    <xf numFmtId="0" fontId="6" fillId="8" borderId="0" xfId="0" applyFont="1" applyFill="1"/>
    <xf numFmtId="164" fontId="10" fillId="8" borderId="34" xfId="2" applyNumberFormat="1" applyFont="1" applyFill="1" applyBorder="1"/>
    <xf numFmtId="164" fontId="10" fillId="8" borderId="35" xfId="2" applyNumberFormat="1" applyFont="1" applyFill="1" applyBorder="1"/>
    <xf numFmtId="164" fontId="10" fillId="8" borderId="67" xfId="2" applyNumberFormat="1" applyFont="1" applyFill="1" applyBorder="1"/>
    <xf numFmtId="0" fontId="6" fillId="8" borderId="0" xfId="0" applyFont="1" applyFill="1" applyProtection="1">
      <protection locked="0"/>
    </xf>
    <xf numFmtId="164" fontId="10" fillId="8" borderId="34" xfId="2" applyNumberFormat="1" applyFont="1" applyFill="1" applyBorder="1" applyProtection="1">
      <protection locked="0"/>
    </xf>
    <xf numFmtId="164" fontId="10" fillId="8" borderId="35" xfId="2" applyNumberFormat="1" applyFont="1" applyFill="1" applyBorder="1" applyProtection="1">
      <protection locked="0"/>
    </xf>
    <xf numFmtId="164" fontId="10" fillId="8" borderId="67" xfId="2" applyNumberFormat="1" applyFont="1" applyFill="1" applyBorder="1" applyProtection="1">
      <protection locked="0"/>
    </xf>
    <xf numFmtId="0" fontId="28" fillId="8" borderId="7" xfId="0" applyFont="1" applyFill="1" applyBorder="1"/>
    <xf numFmtId="0" fontId="28" fillId="8" borderId="34" xfId="0" applyFont="1" applyFill="1" applyBorder="1"/>
    <xf numFmtId="0" fontId="28" fillId="8" borderId="35" xfId="0" applyFont="1" applyFill="1" applyBorder="1"/>
    <xf numFmtId="0" fontId="31" fillId="8" borderId="67" xfId="0" applyFont="1" applyFill="1" applyBorder="1" applyProtection="1">
      <protection locked="0"/>
    </xf>
    <xf numFmtId="167" fontId="32" fillId="8" borderId="34" xfId="3" applyNumberFormat="1" applyFont="1" applyFill="1" applyBorder="1" applyProtection="1"/>
    <xf numFmtId="167" fontId="32" fillId="8" borderId="35" xfId="3" applyNumberFormat="1" applyFont="1" applyFill="1" applyBorder="1" applyProtection="1"/>
    <xf numFmtId="167" fontId="32" fillId="8" borderId="67" xfId="3" applyNumberFormat="1" applyFont="1" applyFill="1" applyBorder="1" applyProtection="1"/>
    <xf numFmtId="0" fontId="28" fillId="8" borderId="0" xfId="0" applyFont="1" applyFill="1"/>
    <xf numFmtId="0" fontId="31" fillId="8" borderId="65" xfId="0" applyFont="1" applyFill="1" applyBorder="1" applyProtection="1">
      <protection locked="0"/>
    </xf>
    <xf numFmtId="9" fontId="32" fillId="8" borderId="7" xfId="3" applyFont="1" applyFill="1" applyBorder="1" applyProtection="1"/>
    <xf numFmtId="9" fontId="32" fillId="8" borderId="0" xfId="3" applyFont="1" applyFill="1" applyBorder="1" applyProtection="1"/>
    <xf numFmtId="9" fontId="32" fillId="8" borderId="65" xfId="3" applyFont="1" applyFill="1" applyBorder="1" applyProtection="1"/>
    <xf numFmtId="43" fontId="32" fillId="8" borderId="7" xfId="1" applyFont="1" applyFill="1" applyBorder="1" applyProtection="1"/>
    <xf numFmtId="43" fontId="32" fillId="8" borderId="0" xfId="1" applyFont="1" applyFill="1" applyBorder="1" applyProtection="1"/>
    <xf numFmtId="43" fontId="32" fillId="8" borderId="65" xfId="1" applyFont="1" applyFill="1" applyBorder="1" applyProtection="1"/>
    <xf numFmtId="43" fontId="28" fillId="8" borderId="7" xfId="1" applyFont="1" applyFill="1" applyBorder="1" applyProtection="1"/>
    <xf numFmtId="43" fontId="28" fillId="8" borderId="0" xfId="1" applyFont="1" applyFill="1" applyBorder="1" applyProtection="1"/>
    <xf numFmtId="43" fontId="28" fillId="8" borderId="65" xfId="1" applyFont="1" applyFill="1" applyBorder="1" applyProtection="1"/>
    <xf numFmtId="0" fontId="28" fillId="0" borderId="52" xfId="0" applyFont="1" applyBorder="1"/>
    <xf numFmtId="0" fontId="4" fillId="0" borderId="53" xfId="0" applyFont="1" applyBorder="1"/>
    <xf numFmtId="0" fontId="33" fillId="0" borderId="54" xfId="0" applyFont="1" applyBorder="1" applyProtection="1">
      <protection locked="0"/>
    </xf>
    <xf numFmtId="43" fontId="28" fillId="0" borderId="52" xfId="1" applyFont="1" applyBorder="1" applyProtection="1"/>
    <xf numFmtId="43" fontId="28" fillId="0" borderId="53" xfId="1" applyFont="1" applyBorder="1" applyProtection="1"/>
    <xf numFmtId="43" fontId="28" fillId="0" borderId="54" xfId="1" applyFont="1" applyBorder="1" applyProtection="1"/>
    <xf numFmtId="0" fontId="6" fillId="0" borderId="52" xfId="0" applyFont="1" applyBorder="1" applyProtection="1">
      <protection locked="0"/>
    </xf>
    <xf numFmtId="0" fontId="4" fillId="0" borderId="53" xfId="0" applyFont="1" applyBorder="1" applyProtection="1">
      <protection locked="0"/>
    </xf>
    <xf numFmtId="43" fontId="34" fillId="0" borderId="52" xfId="1" applyFont="1" applyBorder="1" applyProtection="1">
      <protection locked="0"/>
    </xf>
    <xf numFmtId="43" fontId="34" fillId="0" borderId="53" xfId="1" applyFont="1" applyBorder="1" applyProtection="1">
      <protection locked="0"/>
    </xf>
    <xf numFmtId="43" fontId="34" fillId="0" borderId="54" xfId="1" applyFont="1" applyBorder="1" applyProtection="1">
      <protection locked="0"/>
    </xf>
    <xf numFmtId="0" fontId="4" fillId="8" borderId="0" xfId="0" applyFont="1" applyFill="1" applyProtection="1">
      <protection locked="0"/>
    </xf>
    <xf numFmtId="0" fontId="18" fillId="0" borderId="0" xfId="0" applyFont="1" applyProtection="1">
      <protection locked="0"/>
    </xf>
    <xf numFmtId="38" fontId="18" fillId="0" borderId="0" xfId="0" applyNumberFormat="1" applyFont="1" applyProtection="1">
      <protection locked="0"/>
    </xf>
    <xf numFmtId="38" fontId="35" fillId="0" borderId="0" xfId="0" applyNumberFormat="1" applyFont="1" applyProtection="1">
      <protection locked="0"/>
    </xf>
    <xf numFmtId="38" fontId="18" fillId="0" borderId="21" xfId="0" applyNumberFormat="1" applyFont="1" applyBorder="1" applyProtection="1">
      <protection locked="0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3"/>
    </xf>
    <xf numFmtId="0" fontId="4" fillId="9" borderId="39" xfId="0" applyFont="1" applyFill="1" applyBorder="1"/>
    <xf numFmtId="0" fontId="21" fillId="9" borderId="1" xfId="0" applyFont="1" applyFill="1" applyBorder="1" applyAlignment="1">
      <alignment horizontal="center"/>
    </xf>
    <xf numFmtId="0" fontId="21" fillId="9" borderId="61" xfId="0" applyFont="1" applyFill="1" applyBorder="1" applyAlignment="1">
      <alignment horizontal="center"/>
    </xf>
    <xf numFmtId="0" fontId="21" fillId="11" borderId="7" xfId="0" applyFont="1" applyFill="1" applyBorder="1"/>
    <xf numFmtId="0" fontId="21" fillId="11" borderId="0" xfId="0" applyFont="1" applyFill="1"/>
    <xf numFmtId="0" fontId="25" fillId="11" borderId="65" xfId="0" applyFont="1" applyFill="1" applyBorder="1" applyProtection="1">
      <protection locked="0"/>
    </xf>
    <xf numFmtId="164" fontId="21" fillId="11" borderId="7" xfId="2" applyNumberFormat="1" applyFont="1" applyFill="1" applyBorder="1"/>
    <xf numFmtId="164" fontId="21" fillId="11" borderId="0" xfId="2" applyNumberFormat="1" applyFont="1" applyFill="1" applyBorder="1"/>
    <xf numFmtId="164" fontId="21" fillId="11" borderId="65" xfId="2" applyNumberFormat="1" applyFont="1" applyFill="1" applyBorder="1"/>
    <xf numFmtId="0" fontId="21" fillId="11" borderId="16" xfId="0" applyFont="1" applyFill="1" applyBorder="1"/>
    <xf numFmtId="0" fontId="21" fillId="11" borderId="30" xfId="0" applyFont="1" applyFill="1" applyBorder="1"/>
    <xf numFmtId="0" fontId="25" fillId="11" borderId="70" xfId="0" applyFont="1" applyFill="1" applyBorder="1" applyProtection="1">
      <protection locked="0"/>
    </xf>
    <xf numFmtId="164" fontId="21" fillId="11" borderId="16" xfId="2" applyNumberFormat="1" applyFont="1" applyFill="1" applyBorder="1"/>
    <xf numFmtId="164" fontId="21" fillId="11" borderId="30" xfId="2" applyNumberFormat="1" applyFont="1" applyFill="1" applyBorder="1"/>
    <xf numFmtId="164" fontId="21" fillId="11" borderId="70" xfId="2" applyNumberFormat="1" applyFont="1" applyFill="1" applyBorder="1"/>
    <xf numFmtId="0" fontId="5" fillId="11" borderId="16" xfId="0" applyFont="1" applyFill="1" applyBorder="1"/>
    <xf numFmtId="0" fontId="5" fillId="11" borderId="30" xfId="0" applyFont="1" applyFill="1" applyBorder="1"/>
    <xf numFmtId="0" fontId="27" fillId="11" borderId="70" xfId="0" applyFont="1" applyFill="1" applyBorder="1" applyProtection="1">
      <protection locked="0"/>
    </xf>
    <xf numFmtId="0" fontId="5" fillId="11" borderId="25" xfId="0" applyFont="1" applyFill="1" applyBorder="1"/>
    <xf numFmtId="0" fontId="5" fillId="11" borderId="21" xfId="0" applyFont="1" applyFill="1" applyBorder="1"/>
    <xf numFmtId="0" fontId="27" fillId="11" borderId="66" xfId="0" applyFont="1" applyFill="1" applyBorder="1" applyProtection="1">
      <protection locked="0"/>
    </xf>
    <xf numFmtId="164" fontId="21" fillId="11" borderId="25" xfId="2" applyNumberFormat="1" applyFont="1" applyFill="1" applyBorder="1"/>
    <xf numFmtId="164" fontId="21" fillId="11" borderId="21" xfId="2" applyNumberFormat="1" applyFont="1" applyFill="1" applyBorder="1"/>
    <xf numFmtId="164" fontId="21" fillId="11" borderId="66" xfId="2" applyNumberFormat="1" applyFont="1" applyFill="1" applyBorder="1"/>
    <xf numFmtId="0" fontId="6" fillId="10" borderId="0" xfId="0" applyFont="1" applyFill="1"/>
    <xf numFmtId="0" fontId="29" fillId="10" borderId="65" xfId="0" applyFont="1" applyFill="1" applyBorder="1" applyProtection="1">
      <protection locked="0"/>
    </xf>
    <xf numFmtId="164" fontId="10" fillId="10" borderId="25" xfId="2" applyNumberFormat="1" applyFont="1" applyFill="1" applyBorder="1"/>
    <xf numFmtId="164" fontId="10" fillId="10" borderId="21" xfId="2" applyNumberFormat="1" applyFont="1" applyFill="1" applyBorder="1"/>
    <xf numFmtId="164" fontId="10" fillId="10" borderId="66" xfId="2" applyNumberFormat="1" applyFont="1" applyFill="1" applyBorder="1"/>
    <xf numFmtId="0" fontId="6" fillId="10" borderId="21" xfId="0" applyFont="1" applyFill="1" applyBorder="1"/>
    <xf numFmtId="0" fontId="27" fillId="10" borderId="66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41" fontId="44" fillId="0" borderId="21" xfId="0" applyNumberFormat="1" applyFont="1" applyBorder="1" applyAlignment="1" applyProtection="1">
      <alignment vertical="center"/>
      <protection locked="0"/>
    </xf>
    <xf numFmtId="0" fontId="14" fillId="0" borderId="7" xfId="0" applyFont="1" applyBorder="1" applyProtection="1">
      <protection locked="0"/>
    </xf>
    <xf numFmtId="0" fontId="16" fillId="0" borderId="0" xfId="0" applyFont="1" applyProtection="1">
      <protection locked="0"/>
    </xf>
    <xf numFmtId="0" fontId="14" fillId="8" borderId="0" xfId="0" applyFont="1" applyFill="1" applyProtection="1">
      <protection locked="0"/>
    </xf>
    <xf numFmtId="167" fontId="18" fillId="0" borderId="0" xfId="3" applyNumberFormat="1" applyFont="1" applyBorder="1" applyAlignment="1" applyProtection="1">
      <alignment horizontal="center"/>
      <protection locked="0"/>
    </xf>
    <xf numFmtId="41" fontId="44" fillId="0" borderId="0" xfId="0" applyNumberFormat="1" applyFont="1" applyAlignment="1" applyProtection="1">
      <alignment vertical="center"/>
      <protection locked="0"/>
    </xf>
    <xf numFmtId="0" fontId="14" fillId="0" borderId="39" xfId="0" applyFont="1" applyBorder="1" applyProtection="1">
      <protection locked="0"/>
    </xf>
    <xf numFmtId="1" fontId="18" fillId="0" borderId="64" xfId="4" applyNumberFormat="1" applyFont="1" applyBorder="1" applyAlignment="1">
      <alignment horizontal="right" vertical="center"/>
    </xf>
    <xf numFmtId="1" fontId="18" fillId="0" borderId="0" xfId="4" applyNumberFormat="1" applyFont="1" applyAlignment="1">
      <alignment horizontal="right" vertical="center"/>
    </xf>
    <xf numFmtId="1" fontId="18" fillId="0" borderId="9" xfId="4" applyNumberFormat="1" applyFont="1" applyBorder="1" applyAlignment="1">
      <alignment horizontal="right" vertical="center"/>
    </xf>
    <xf numFmtId="169" fontId="47" fillId="8" borderId="76" xfId="0" applyNumberFormat="1" applyFont="1" applyFill="1" applyBorder="1" applyAlignment="1" applyProtection="1">
      <alignment horizontal="center" vertical="center"/>
      <protection locked="0"/>
    </xf>
    <xf numFmtId="170" fontId="18" fillId="7" borderId="58" xfId="4" applyNumberFormat="1" applyFont="1" applyFill="1" applyBorder="1" applyAlignment="1">
      <alignment horizontal="right" vertical="center"/>
    </xf>
    <xf numFmtId="170" fontId="18" fillId="7" borderId="21" xfId="4" applyNumberFormat="1" applyFont="1" applyFill="1" applyBorder="1" applyAlignment="1">
      <alignment horizontal="right" vertical="center"/>
    </xf>
    <xf numFmtId="170" fontId="18" fillId="7" borderId="10" xfId="4" applyNumberFormat="1" applyFont="1" applyFill="1" applyBorder="1" applyAlignment="1">
      <alignment horizontal="right" vertical="center"/>
    </xf>
    <xf numFmtId="171" fontId="48" fillId="7" borderId="76" xfId="0" applyNumberFormat="1" applyFont="1" applyFill="1" applyBorder="1" applyAlignment="1" applyProtection="1">
      <alignment horizontal="center" vertical="center"/>
      <protection locked="0"/>
    </xf>
    <xf numFmtId="1" fontId="18" fillId="0" borderId="64" xfId="1" applyNumberFormat="1" applyFont="1" applyBorder="1" applyAlignment="1" applyProtection="1">
      <alignment horizontal="right" vertical="center"/>
    </xf>
    <xf numFmtId="1" fontId="18" fillId="0" borderId="0" xfId="1" applyNumberFormat="1" applyFont="1" applyBorder="1" applyAlignment="1" applyProtection="1">
      <alignment horizontal="right" vertical="center"/>
    </xf>
    <xf numFmtId="1" fontId="18" fillId="0" borderId="9" xfId="1" applyNumberFormat="1" applyFont="1" applyBorder="1" applyAlignment="1" applyProtection="1">
      <alignment horizontal="right" vertical="center"/>
    </xf>
    <xf numFmtId="166" fontId="44" fillId="0" borderId="62" xfId="0" applyNumberFormat="1" applyFont="1" applyBorder="1" applyAlignment="1" applyProtection="1">
      <alignment vertical="center"/>
      <protection locked="0"/>
    </xf>
    <xf numFmtId="166" fontId="44" fillId="0" borderId="23" xfId="0" applyNumberFormat="1" applyFont="1" applyBorder="1" applyAlignment="1" applyProtection="1">
      <alignment vertical="center"/>
      <protection locked="0"/>
    </xf>
    <xf numFmtId="166" fontId="44" fillId="0" borderId="53" xfId="0" applyNumberFormat="1" applyFont="1" applyBorder="1" applyAlignment="1" applyProtection="1">
      <alignment vertical="center"/>
      <protection locked="0"/>
    </xf>
    <xf numFmtId="43" fontId="44" fillId="0" borderId="23" xfId="0" applyNumberFormat="1" applyFont="1" applyBorder="1" applyAlignment="1" applyProtection="1">
      <alignment vertical="center"/>
      <protection locked="0"/>
    </xf>
    <xf numFmtId="0" fontId="16" fillId="0" borderId="53" xfId="0" applyFont="1" applyBorder="1" applyAlignment="1" applyProtection="1">
      <alignment horizontal="left" vertical="center"/>
      <protection locked="0"/>
    </xf>
    <xf numFmtId="166" fontId="14" fillId="0" borderId="58" xfId="0" applyNumberFormat="1" applyFont="1" applyBorder="1" applyAlignment="1" applyProtection="1">
      <alignment vertical="center"/>
      <protection locked="0"/>
    </xf>
    <xf numFmtId="166" fontId="14" fillId="0" borderId="10" xfId="0" applyNumberFormat="1" applyFont="1" applyBorder="1" applyAlignment="1" applyProtection="1">
      <alignment vertical="center"/>
      <protection locked="0"/>
    </xf>
    <xf numFmtId="166" fontId="14" fillId="0" borderId="30" xfId="0" applyNumberFormat="1" applyFont="1" applyBorder="1" applyAlignment="1" applyProtection="1">
      <alignment vertical="center"/>
      <protection locked="0"/>
    </xf>
    <xf numFmtId="43" fontId="14" fillId="0" borderId="10" xfId="0" applyNumberFormat="1" applyFont="1" applyBorder="1" applyAlignment="1" applyProtection="1">
      <alignment vertical="center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166" fontId="14" fillId="0" borderId="57" xfId="0" applyNumberFormat="1" applyFont="1" applyBorder="1" applyAlignment="1" applyProtection="1">
      <alignment vertical="center"/>
      <protection locked="0"/>
    </xf>
    <xf numFmtId="166" fontId="14" fillId="0" borderId="14" xfId="0" applyNumberFormat="1" applyFont="1" applyBorder="1" applyAlignment="1" applyProtection="1">
      <alignment vertical="center"/>
      <protection locked="0"/>
    </xf>
    <xf numFmtId="166" fontId="14" fillId="0" borderId="21" xfId="0" applyNumberFormat="1" applyFont="1" applyBorder="1" applyAlignment="1" applyProtection="1">
      <alignment vertical="center"/>
      <protection locked="0"/>
    </xf>
    <xf numFmtId="43" fontId="14" fillId="0" borderId="14" xfId="0" applyNumberFormat="1" applyFont="1" applyBorder="1" applyAlignment="1" applyProtection="1">
      <alignment vertical="center"/>
      <protection locked="0"/>
    </xf>
    <xf numFmtId="0" fontId="16" fillId="0" borderId="21" xfId="0" applyFont="1" applyBorder="1" applyAlignment="1" applyProtection="1">
      <alignment horizontal="left" vertical="center"/>
      <protection locked="0"/>
    </xf>
    <xf numFmtId="42" fontId="44" fillId="0" borderId="68" xfId="0" applyNumberFormat="1" applyFont="1" applyBorder="1" applyAlignment="1" applyProtection="1">
      <alignment vertical="center"/>
      <protection locked="0"/>
    </xf>
    <xf numFmtId="42" fontId="44" fillId="0" borderId="3" xfId="0" applyNumberFormat="1" applyFont="1" applyBorder="1" applyAlignment="1" applyProtection="1">
      <alignment vertical="center"/>
      <protection locked="0"/>
    </xf>
    <xf numFmtId="42" fontId="44" fillId="0" borderId="39" xfId="0" applyNumberFormat="1" applyFont="1" applyBorder="1" applyAlignment="1" applyProtection="1">
      <alignment vertical="center"/>
      <protection locked="0"/>
    </xf>
    <xf numFmtId="0" fontId="16" fillId="0" borderId="39" xfId="0" applyFont="1" applyBorder="1" applyAlignment="1" applyProtection="1">
      <alignment horizontal="left" vertical="center"/>
      <protection locked="0"/>
    </xf>
    <xf numFmtId="165" fontId="16" fillId="6" borderId="63" xfId="0" applyNumberFormat="1" applyFont="1" applyFill="1" applyBorder="1" applyAlignment="1" applyProtection="1">
      <alignment horizontal="center" vertical="center"/>
      <protection locked="0"/>
    </xf>
    <xf numFmtId="165" fontId="16" fillId="6" borderId="72" xfId="0" applyNumberFormat="1" applyFont="1" applyFill="1" applyBorder="1" applyAlignment="1" applyProtection="1">
      <alignment horizontal="center" vertical="center"/>
      <protection locked="0"/>
    </xf>
    <xf numFmtId="165" fontId="16" fillId="6" borderId="27" xfId="0" applyNumberFormat="1" applyFont="1" applyFill="1" applyBorder="1" applyAlignment="1" applyProtection="1">
      <alignment horizontal="center" vertical="center"/>
      <protection locked="0"/>
    </xf>
    <xf numFmtId="0" fontId="16" fillId="6" borderId="27" xfId="0" applyFont="1" applyFill="1" applyBorder="1" applyAlignment="1" applyProtection="1">
      <alignment horizontal="left" vertical="center"/>
      <protection locked="0"/>
    </xf>
    <xf numFmtId="2" fontId="16" fillId="0" borderId="53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2" fontId="16" fillId="0" borderId="64" xfId="0" applyNumberFormat="1" applyFont="1" applyBorder="1" applyAlignment="1" applyProtection="1">
      <alignment horizontal="center" vertical="center"/>
      <protection locked="0"/>
    </xf>
    <xf numFmtId="2" fontId="16" fillId="0" borderId="9" xfId="0" applyNumberFormat="1" applyFont="1" applyBorder="1" applyAlignment="1" applyProtection="1">
      <alignment horizontal="center" vertical="center"/>
      <protection locked="0"/>
    </xf>
    <xf numFmtId="2" fontId="16" fillId="13" borderId="0" xfId="0" applyNumberFormat="1" applyFont="1" applyFill="1" applyAlignment="1" applyProtection="1">
      <alignment vertical="center"/>
      <protection locked="0"/>
    </xf>
    <xf numFmtId="2" fontId="16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168" fontId="14" fillId="0" borderId="64" xfId="0" applyNumberFormat="1" applyFont="1" applyBorder="1" applyAlignment="1" applyProtection="1">
      <alignment horizontal="center" vertical="center"/>
      <protection locked="0"/>
    </xf>
    <xf numFmtId="168" fontId="14" fillId="0" borderId="9" xfId="0" applyNumberFormat="1" applyFont="1" applyBorder="1" applyAlignment="1" applyProtection="1">
      <alignment horizontal="center" vertical="center"/>
      <protection locked="0"/>
    </xf>
    <xf numFmtId="42" fontId="14" fillId="13" borderId="0" xfId="0" applyNumberFormat="1" applyFont="1" applyFill="1" applyAlignment="1" applyProtection="1">
      <alignment vertical="center"/>
      <protection locked="0"/>
    </xf>
    <xf numFmtId="168" fontId="14" fillId="0" borderId="0" xfId="0" applyNumberFormat="1" applyFont="1" applyAlignment="1" applyProtection="1">
      <alignment horizontal="center" vertical="center"/>
      <protection locked="0"/>
    </xf>
    <xf numFmtId="168" fontId="15" fillId="8" borderId="74" xfId="0" applyNumberFormat="1" applyFont="1" applyFill="1" applyBorder="1" applyAlignment="1" applyProtection="1">
      <alignment horizontal="center" vertical="center"/>
      <protection locked="0"/>
    </xf>
    <xf numFmtId="2" fontId="16" fillId="5" borderId="6" xfId="0" applyNumberFormat="1" applyFont="1" applyFill="1" applyBorder="1" applyAlignment="1" applyProtection="1">
      <alignment vertical="center"/>
      <protection locked="0"/>
    </xf>
    <xf numFmtId="2" fontId="16" fillId="5" borderId="5" xfId="0" applyNumberFormat="1" applyFont="1" applyFill="1" applyBorder="1" applyAlignment="1" applyProtection="1">
      <alignment vertical="center"/>
      <protection locked="0"/>
    </xf>
    <xf numFmtId="0" fontId="16" fillId="5" borderId="5" xfId="0" applyFont="1" applyFill="1" applyBorder="1" applyAlignment="1" applyProtection="1">
      <alignment horizontal="left" vertical="center"/>
      <protection locked="0"/>
    </xf>
    <xf numFmtId="2" fontId="16" fillId="0" borderId="0" xfId="0" applyNumberFormat="1" applyFont="1" applyAlignment="1" applyProtection="1">
      <alignment vertical="center"/>
      <protection locked="0"/>
    </xf>
    <xf numFmtId="0" fontId="16" fillId="0" borderId="27" xfId="0" applyFont="1" applyBorder="1" applyAlignment="1" applyProtection="1">
      <alignment vertical="center"/>
      <protection locked="0"/>
    </xf>
    <xf numFmtId="2" fontId="14" fillId="14" borderId="62" xfId="0" applyNumberFormat="1" applyFont="1" applyFill="1" applyBorder="1" applyAlignment="1">
      <alignment horizontal="center" vertical="center"/>
    </xf>
    <xf numFmtId="2" fontId="14" fillId="14" borderId="23" xfId="0" applyNumberFormat="1" applyFont="1" applyFill="1" applyBorder="1" applyAlignment="1">
      <alignment horizontal="center" vertical="center"/>
    </xf>
    <xf numFmtId="2" fontId="14" fillId="14" borderId="27" xfId="0" applyNumberFormat="1" applyFont="1" applyFill="1" applyBorder="1" applyAlignment="1">
      <alignment horizontal="center" vertical="center"/>
    </xf>
    <xf numFmtId="2" fontId="14" fillId="14" borderId="53" xfId="0" applyNumberFormat="1" applyFont="1" applyFill="1" applyBorder="1" applyAlignment="1">
      <alignment horizontal="center" vertical="center"/>
    </xf>
    <xf numFmtId="2" fontId="14" fillId="14" borderId="72" xfId="0" applyNumberFormat="1" applyFont="1" applyFill="1" applyBorder="1" applyAlignment="1">
      <alignment horizontal="center" vertical="center"/>
    </xf>
    <xf numFmtId="0" fontId="14" fillId="14" borderId="43" xfId="0" applyFont="1" applyFill="1" applyBorder="1" applyAlignment="1" applyProtection="1">
      <alignment vertical="center"/>
      <protection locked="0"/>
    </xf>
    <xf numFmtId="0" fontId="14" fillId="14" borderId="27" xfId="0" applyFont="1" applyFill="1" applyBorder="1" applyAlignment="1">
      <alignment vertical="center"/>
    </xf>
    <xf numFmtId="0" fontId="14" fillId="14" borderId="26" xfId="0" applyFont="1" applyFill="1" applyBorder="1" applyAlignment="1">
      <alignment vertical="center"/>
    </xf>
    <xf numFmtId="2" fontId="18" fillId="14" borderId="60" xfId="0" applyNumberFormat="1" applyFont="1" applyFill="1" applyBorder="1" applyAlignment="1">
      <alignment horizontal="center" vertical="center"/>
    </xf>
    <xf numFmtId="2" fontId="18" fillId="14" borderId="37" xfId="0" applyNumberFormat="1" applyFont="1" applyFill="1" applyBorder="1" applyAlignment="1">
      <alignment horizontal="center" vertical="center"/>
    </xf>
    <xf numFmtId="2" fontId="18" fillId="14" borderId="32" xfId="0" applyNumberFormat="1" applyFont="1" applyFill="1" applyBorder="1" applyAlignment="1">
      <alignment horizontal="center" vertical="center"/>
    </xf>
    <xf numFmtId="0" fontId="23" fillId="14" borderId="51" xfId="0" applyFont="1" applyFill="1" applyBorder="1" applyAlignment="1" applyProtection="1">
      <alignment horizontal="center" vertical="center"/>
      <protection locked="0"/>
    </xf>
    <xf numFmtId="0" fontId="18" fillId="14" borderId="37" xfId="0" applyFont="1" applyFill="1" applyBorder="1" applyAlignment="1">
      <alignment vertical="center"/>
    </xf>
    <xf numFmtId="0" fontId="18" fillId="14" borderId="36" xfId="0" applyFont="1" applyFill="1" applyBorder="1" applyAlignment="1">
      <alignment vertical="center"/>
    </xf>
    <xf numFmtId="2" fontId="18" fillId="14" borderId="64" xfId="0" applyNumberFormat="1" applyFont="1" applyFill="1" applyBorder="1" applyAlignment="1">
      <alignment horizontal="center" vertical="center"/>
    </xf>
    <xf numFmtId="2" fontId="18" fillId="14" borderId="0" xfId="0" applyNumberFormat="1" applyFont="1" applyFill="1" applyAlignment="1">
      <alignment horizontal="center" vertical="center"/>
    </xf>
    <xf numFmtId="2" fontId="18" fillId="14" borderId="9" xfId="0" applyNumberFormat="1" applyFont="1" applyFill="1" applyBorder="1" applyAlignment="1">
      <alignment horizontal="center" vertical="center"/>
    </xf>
    <xf numFmtId="0" fontId="23" fillId="14" borderId="76" xfId="0" applyFont="1" applyFill="1" applyBorder="1" applyAlignment="1" applyProtection="1">
      <alignment horizontal="left" vertical="center"/>
      <protection locked="0"/>
    </xf>
    <xf numFmtId="0" fontId="14" fillId="0" borderId="21" xfId="0" applyFont="1" applyBorder="1" applyProtection="1">
      <protection locked="0"/>
    </xf>
    <xf numFmtId="2" fontId="18" fillId="14" borderId="62" xfId="0" applyNumberFormat="1" applyFont="1" applyFill="1" applyBorder="1" applyAlignment="1">
      <alignment horizontal="center" vertical="center"/>
    </xf>
    <xf numFmtId="2" fontId="18" fillId="14" borderId="53" xfId="0" applyNumberFormat="1" applyFont="1" applyFill="1" applyBorder="1" applyAlignment="1">
      <alignment horizontal="center" vertical="center"/>
    </xf>
    <xf numFmtId="2" fontId="18" fillId="14" borderId="23" xfId="0" applyNumberFormat="1" applyFont="1" applyFill="1" applyBorder="1" applyAlignment="1">
      <alignment horizontal="center" vertical="center"/>
    </xf>
    <xf numFmtId="0" fontId="23" fillId="14" borderId="22" xfId="0" applyFont="1" applyFill="1" applyBorder="1" applyAlignment="1" applyProtection="1">
      <alignment horizontal="left" vertical="center"/>
      <protection locked="0"/>
    </xf>
    <xf numFmtId="2" fontId="47" fillId="14" borderId="58" xfId="0" applyNumberFormat="1" applyFont="1" applyFill="1" applyBorder="1" applyAlignment="1">
      <alignment horizontal="center" vertical="center"/>
    </xf>
    <xf numFmtId="2" fontId="47" fillId="14" borderId="10" xfId="0" applyNumberFormat="1" applyFont="1" applyFill="1" applyBorder="1" applyAlignment="1">
      <alignment horizontal="center" vertical="center"/>
    </xf>
    <xf numFmtId="2" fontId="47" fillId="14" borderId="30" xfId="0" applyNumberFormat="1" applyFont="1" applyFill="1" applyBorder="1" applyAlignment="1">
      <alignment horizontal="center" vertical="center"/>
    </xf>
    <xf numFmtId="0" fontId="23" fillId="14" borderId="11" xfId="0" applyFont="1" applyFill="1" applyBorder="1" applyAlignment="1" applyProtection="1">
      <alignment horizontal="center" vertical="center"/>
      <protection locked="0"/>
    </xf>
    <xf numFmtId="0" fontId="18" fillId="14" borderId="30" xfId="0" applyFont="1" applyFill="1" applyBorder="1" applyAlignment="1">
      <alignment horizontal="left" vertical="center"/>
    </xf>
    <xf numFmtId="0" fontId="18" fillId="14" borderId="16" xfId="0" applyFont="1" applyFill="1" applyBorder="1" applyAlignment="1">
      <alignment vertical="center"/>
    </xf>
    <xf numFmtId="2" fontId="47" fillId="14" borderId="57" xfId="0" applyNumberFormat="1" applyFont="1" applyFill="1" applyBorder="1" applyAlignment="1">
      <alignment horizontal="center" vertical="center"/>
    </xf>
    <xf numFmtId="2" fontId="47" fillId="14" borderId="14" xfId="0" applyNumberFormat="1" applyFont="1" applyFill="1" applyBorder="1" applyAlignment="1">
      <alignment horizontal="center" vertical="center"/>
    </xf>
    <xf numFmtId="2" fontId="47" fillId="14" borderId="21" xfId="0" applyNumberFormat="1" applyFont="1" applyFill="1" applyBorder="1" applyAlignment="1">
      <alignment horizontal="center" vertical="center"/>
    </xf>
    <xf numFmtId="2" fontId="23" fillId="14" borderId="47" xfId="0" applyNumberFormat="1" applyFont="1" applyFill="1" applyBorder="1" applyAlignment="1" applyProtection="1">
      <alignment vertical="center"/>
      <protection locked="0"/>
    </xf>
    <xf numFmtId="2" fontId="53" fillId="14" borderId="21" xfId="0" applyNumberFormat="1" applyFont="1" applyFill="1" applyBorder="1" applyAlignment="1">
      <alignment vertical="center"/>
    </xf>
    <xf numFmtId="0" fontId="53" fillId="14" borderId="21" xfId="0" applyFont="1" applyFill="1" applyBorder="1" applyAlignment="1">
      <alignment horizontal="center" vertical="center"/>
    </xf>
    <xf numFmtId="0" fontId="18" fillId="14" borderId="25" xfId="0" applyFont="1" applyFill="1" applyBorder="1" applyAlignment="1">
      <alignment vertical="center"/>
    </xf>
    <xf numFmtId="2" fontId="18" fillId="14" borderId="84" xfId="0" applyNumberFormat="1" applyFont="1" applyFill="1" applyBorder="1" applyAlignment="1">
      <alignment horizontal="center" vertical="center"/>
    </xf>
    <xf numFmtId="2" fontId="18" fillId="14" borderId="73" xfId="0" applyNumberFormat="1" applyFont="1" applyFill="1" applyBorder="1" applyAlignment="1">
      <alignment horizontal="center" vertical="center"/>
    </xf>
    <xf numFmtId="2" fontId="18" fillId="14" borderId="4" xfId="0" applyNumberFormat="1" applyFont="1" applyFill="1" applyBorder="1" applyAlignment="1">
      <alignment horizontal="center" vertical="center"/>
    </xf>
    <xf numFmtId="2" fontId="18" fillId="14" borderId="5" xfId="0" applyNumberFormat="1" applyFont="1" applyFill="1" applyBorder="1" applyAlignment="1">
      <alignment horizontal="center" vertical="center"/>
    </xf>
    <xf numFmtId="2" fontId="23" fillId="14" borderId="73" xfId="0" applyNumberFormat="1" applyFont="1" applyFill="1" applyBorder="1" applyAlignment="1" applyProtection="1">
      <alignment vertical="center"/>
      <protection locked="0"/>
    </xf>
    <xf numFmtId="2" fontId="53" fillId="14" borderId="5" xfId="0" applyNumberFormat="1" applyFont="1" applyFill="1" applyBorder="1" applyAlignment="1">
      <alignment vertical="center"/>
    </xf>
    <xf numFmtId="0" fontId="53" fillId="14" borderId="5" xfId="0" applyFont="1" applyFill="1" applyBorder="1" applyAlignment="1">
      <alignment horizontal="center" vertical="center"/>
    </xf>
    <xf numFmtId="0" fontId="18" fillId="14" borderId="56" xfId="0" applyFont="1" applyFill="1" applyBorder="1" applyAlignment="1">
      <alignment vertical="center"/>
    </xf>
    <xf numFmtId="2" fontId="16" fillId="0" borderId="62" xfId="0" applyNumberFormat="1" applyFont="1" applyBorder="1" applyAlignment="1">
      <alignment horizontal="center" vertical="center"/>
    </xf>
    <xf numFmtId="2" fontId="16" fillId="8" borderId="62" xfId="0" applyNumberFormat="1" applyFont="1" applyFill="1" applyBorder="1" applyAlignment="1">
      <alignment horizontal="center" vertical="center"/>
    </xf>
    <xf numFmtId="2" fontId="16" fillId="0" borderId="22" xfId="0" applyNumberFormat="1" applyFont="1" applyBorder="1" applyAlignment="1">
      <alignment horizontal="center" vertical="center"/>
    </xf>
    <xf numFmtId="2" fontId="16" fillId="0" borderId="23" xfId="0" applyNumberFormat="1" applyFont="1" applyBorder="1" applyAlignment="1">
      <alignment horizontal="center" vertical="center"/>
    </xf>
    <xf numFmtId="2" fontId="16" fillId="8" borderId="53" xfId="0" applyNumberFormat="1" applyFont="1" applyFill="1" applyBorder="1" applyAlignment="1">
      <alignment horizontal="center" vertical="center"/>
    </xf>
    <xf numFmtId="2" fontId="16" fillId="0" borderId="53" xfId="0" applyNumberFormat="1" applyFont="1" applyBorder="1" applyAlignment="1">
      <alignment horizontal="center" vertical="center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176" fontId="44" fillId="0" borderId="39" xfId="0" quotePrefix="1" applyNumberFormat="1" applyFont="1" applyBorder="1" applyAlignment="1" applyProtection="1">
      <alignment horizontal="left" vertical="center"/>
      <protection locked="0"/>
    </xf>
    <xf numFmtId="177" fontId="44" fillId="0" borderId="39" xfId="0" applyNumberFormat="1" applyFont="1" applyBorder="1" applyAlignment="1" applyProtection="1">
      <alignment horizontal="left" vertical="center"/>
      <protection locked="0"/>
    </xf>
    <xf numFmtId="178" fontId="44" fillId="8" borderId="39" xfId="0" applyNumberFormat="1" applyFont="1" applyFill="1" applyBorder="1" applyAlignment="1" applyProtection="1">
      <alignment horizontal="right" vertical="center"/>
      <protection locked="0"/>
    </xf>
    <xf numFmtId="42" fontId="14" fillId="0" borderId="68" xfId="0" applyNumberFormat="1" applyFont="1" applyBorder="1" applyAlignment="1">
      <alignment vertical="center"/>
    </xf>
    <xf numFmtId="42" fontId="14" fillId="0" borderId="39" xfId="0" applyNumberFormat="1" applyFont="1" applyBorder="1" applyAlignment="1">
      <alignment vertical="center"/>
    </xf>
    <xf numFmtId="42" fontId="14" fillId="0" borderId="3" xfId="0" applyNumberFormat="1" applyFont="1" applyBorder="1" applyAlignment="1">
      <alignment vertical="center"/>
    </xf>
    <xf numFmtId="0" fontId="23" fillId="0" borderId="76" xfId="0" applyFont="1" applyBorder="1" applyAlignment="1" applyProtection="1">
      <alignment horizontal="center" vertical="center"/>
      <protection locked="0"/>
    </xf>
    <xf numFmtId="42" fontId="14" fillId="0" borderId="62" xfId="0" applyNumberFormat="1" applyFont="1" applyBorder="1" applyAlignment="1">
      <alignment vertical="center"/>
    </xf>
    <xf numFmtId="42" fontId="14" fillId="0" borderId="0" xfId="0" applyNumberFormat="1" applyFont="1" applyAlignment="1">
      <alignment vertical="center"/>
    </xf>
    <xf numFmtId="42" fontId="14" fillId="0" borderId="9" xfId="0" applyNumberFormat="1" applyFont="1" applyBorder="1" applyAlignment="1">
      <alignment vertical="center"/>
    </xf>
    <xf numFmtId="0" fontId="23" fillId="0" borderId="47" xfId="0" applyFont="1" applyBorder="1" applyAlignment="1" applyProtection="1">
      <alignment horizontal="center" vertical="center"/>
      <protection locked="0"/>
    </xf>
    <xf numFmtId="179" fontId="44" fillId="0" borderId="21" xfId="0" applyNumberFormat="1" applyFont="1" applyBorder="1" applyAlignment="1" applyProtection="1">
      <alignment horizontal="left" vertical="center"/>
      <protection locked="0"/>
    </xf>
    <xf numFmtId="178" fontId="44" fillId="8" borderId="21" xfId="0" applyNumberFormat="1" applyFont="1" applyFill="1" applyBorder="1" applyAlignment="1" applyProtection="1">
      <alignment horizontal="right" vertical="center"/>
      <protection locked="0"/>
    </xf>
    <xf numFmtId="42" fontId="14" fillId="0" borderId="64" xfId="0" applyNumberFormat="1" applyFont="1" applyBorder="1" applyAlignment="1">
      <alignment vertical="center"/>
    </xf>
    <xf numFmtId="42" fontId="14" fillId="8" borderId="62" xfId="0" applyNumberFormat="1" applyFont="1" applyFill="1" applyBorder="1" applyAlignment="1">
      <alignment vertical="center"/>
    </xf>
    <xf numFmtId="42" fontId="14" fillId="8" borderId="9" xfId="0" applyNumberFormat="1" applyFont="1" applyFill="1" applyBorder="1" applyAlignment="1">
      <alignment vertical="center"/>
    </xf>
    <xf numFmtId="41" fontId="44" fillId="0" borderId="64" xfId="0" applyNumberFormat="1" applyFont="1" applyBorder="1" applyAlignment="1" applyProtection="1">
      <alignment vertical="center"/>
      <protection locked="0"/>
    </xf>
    <xf numFmtId="41" fontId="44" fillId="0" borderId="9" xfId="0" applyNumberFormat="1" applyFont="1" applyBorder="1" applyAlignment="1" applyProtection="1">
      <alignment vertical="center"/>
      <protection locked="0"/>
    </xf>
    <xf numFmtId="0" fontId="23" fillId="0" borderId="76" xfId="0" quotePrefix="1" applyFont="1" applyBorder="1" applyAlignment="1" applyProtection="1">
      <alignment horizontal="center" vertical="center"/>
      <protection locked="0"/>
    </xf>
    <xf numFmtId="0" fontId="15" fillId="0" borderId="0" xfId="0" quotePrefix="1" applyFont="1" applyAlignment="1" applyProtection="1">
      <alignment horizontal="left" vertical="center"/>
      <protection locked="0"/>
    </xf>
    <xf numFmtId="0" fontId="15" fillId="0" borderId="7" xfId="0" quotePrefix="1" applyFont="1" applyBorder="1" applyAlignment="1" applyProtection="1">
      <alignment horizontal="left" vertical="center"/>
      <protection locked="0"/>
    </xf>
    <xf numFmtId="0" fontId="5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1" fontId="44" fillId="0" borderId="57" xfId="0" applyNumberFormat="1" applyFont="1" applyBorder="1" applyAlignment="1" applyProtection="1">
      <alignment vertical="center"/>
      <protection locked="0"/>
    </xf>
    <xf numFmtId="41" fontId="44" fillId="0" borderId="14" xfId="0" applyNumberFormat="1" applyFont="1" applyBorder="1" applyAlignment="1" applyProtection="1">
      <alignment vertical="center"/>
      <protection locked="0"/>
    </xf>
    <xf numFmtId="0" fontId="23" fillId="0" borderId="47" xfId="0" quotePrefix="1" applyFont="1" applyBorder="1" applyAlignment="1" applyProtection="1">
      <alignment horizontal="center" vertical="center"/>
      <protection locked="0"/>
    </xf>
    <xf numFmtId="0" fontId="55" fillId="15" borderId="0" xfId="5" applyFill="1" applyAlignment="1" applyProtection="1">
      <alignment horizontal="left" vertical="center"/>
      <protection locked="0"/>
    </xf>
    <xf numFmtId="0" fontId="56" fillId="0" borderId="0" xfId="0" applyFont="1" applyAlignment="1" applyProtection="1">
      <alignment horizontal="left" vertical="center"/>
      <protection locked="0"/>
    </xf>
    <xf numFmtId="42" fontId="14" fillId="0" borderId="59" xfId="0" applyNumberFormat="1" applyFont="1" applyBorder="1" applyAlignment="1" applyProtection="1">
      <alignment vertical="center"/>
      <protection locked="0"/>
    </xf>
    <xf numFmtId="42" fontId="14" fillId="0" borderId="35" xfId="0" applyNumberFormat="1" applyFont="1" applyBorder="1" applyAlignment="1" applyProtection="1">
      <alignment vertical="center"/>
      <protection locked="0"/>
    </xf>
    <xf numFmtId="42" fontId="14" fillId="0" borderId="74" xfId="0" applyNumberFormat="1" applyFont="1" applyBorder="1" applyAlignment="1" applyProtection="1">
      <alignment vertical="center"/>
      <protection locked="0"/>
    </xf>
    <xf numFmtId="0" fontId="23" fillId="0" borderId="49" xfId="0" applyFont="1" applyBorder="1" applyAlignment="1" applyProtection="1">
      <alignment horizontal="center" vertical="center"/>
      <protection locked="0"/>
    </xf>
    <xf numFmtId="42" fontId="14" fillId="0" borderId="58" xfId="0" applyNumberFormat="1" applyFont="1" applyBorder="1" applyAlignment="1" applyProtection="1">
      <alignment vertical="center"/>
      <protection locked="0"/>
    </xf>
    <xf numFmtId="42" fontId="14" fillId="0" borderId="30" xfId="0" applyNumberFormat="1" applyFont="1" applyBorder="1" applyAlignment="1" applyProtection="1">
      <alignment vertical="center"/>
      <protection locked="0"/>
    </xf>
    <xf numFmtId="42" fontId="14" fillId="0" borderId="10" xfId="0" applyNumberFormat="1" applyFont="1" applyBorder="1" applyAlignment="1" applyProtection="1">
      <alignment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180" fontId="15" fillId="8" borderId="57" xfId="4" applyNumberFormat="1" applyFont="1" applyFill="1" applyBorder="1" applyAlignment="1" applyProtection="1">
      <alignment horizontal="center" vertical="center"/>
      <protection locked="0"/>
    </xf>
    <xf numFmtId="180" fontId="15" fillId="8" borderId="21" xfId="4" applyNumberFormat="1" applyFont="1" applyFill="1" applyBorder="1" applyAlignment="1" applyProtection="1">
      <alignment horizontal="center" vertical="center"/>
      <protection locked="0"/>
    </xf>
    <xf numFmtId="180" fontId="15" fillId="8" borderId="14" xfId="4" applyNumberFormat="1" applyFont="1" applyFill="1" applyBorder="1" applyAlignment="1" applyProtection="1">
      <alignment horizontal="center" vertical="center"/>
      <protection locked="0"/>
    </xf>
    <xf numFmtId="3" fontId="44" fillId="0" borderId="84" xfId="0" applyNumberFormat="1" applyFont="1" applyBorder="1" applyAlignment="1" applyProtection="1">
      <alignment horizontal="center" vertical="center"/>
      <protection locked="0"/>
    </xf>
    <xf numFmtId="3" fontId="44" fillId="8" borderId="84" xfId="0" applyNumberFormat="1" applyFont="1" applyFill="1" applyBorder="1" applyAlignment="1" applyProtection="1">
      <alignment horizontal="center" vertical="center"/>
      <protection locked="0"/>
    </xf>
    <xf numFmtId="3" fontId="44" fillId="8" borderId="5" xfId="0" applyNumberFormat="1" applyFont="1" applyFill="1" applyBorder="1" applyAlignment="1" applyProtection="1">
      <alignment horizontal="center" vertical="center"/>
      <protection locked="0"/>
    </xf>
    <xf numFmtId="3" fontId="44" fillId="8" borderId="4" xfId="0" applyNumberFormat="1" applyFont="1" applyFill="1" applyBorder="1" applyAlignment="1" applyProtection="1">
      <alignment horizontal="center" vertical="center"/>
      <protection locked="0"/>
    </xf>
    <xf numFmtId="3" fontId="44" fillId="0" borderId="5" xfId="0" applyNumberFormat="1" applyFont="1" applyBorder="1" applyAlignment="1" applyProtection="1">
      <alignment horizontal="center" vertical="center"/>
      <protection locked="0"/>
    </xf>
    <xf numFmtId="3" fontId="44" fillId="0" borderId="4" xfId="0" applyNumberFormat="1" applyFont="1" applyBorder="1" applyAlignment="1" applyProtection="1">
      <alignment horizontal="center" vertical="center"/>
      <protection locked="0"/>
    </xf>
    <xf numFmtId="0" fontId="23" fillId="0" borderId="73" xfId="0" applyFont="1" applyBorder="1" applyAlignment="1" applyProtection="1">
      <alignment horizontal="center" vertical="center"/>
      <protection locked="0"/>
    </xf>
    <xf numFmtId="0" fontId="45" fillId="9" borderId="3" xfId="0" applyFont="1" applyFill="1" applyBorder="1" applyAlignment="1" applyProtection="1">
      <alignment horizontal="center" vertical="center"/>
      <protection locked="0"/>
    </xf>
    <xf numFmtId="0" fontId="45" fillId="9" borderId="39" xfId="0" applyFont="1" applyFill="1" applyBorder="1" applyAlignment="1" applyProtection="1">
      <alignment horizontal="center" vertical="center"/>
      <protection locked="0"/>
    </xf>
    <xf numFmtId="0" fontId="16" fillId="9" borderId="68" xfId="0" applyFont="1" applyFill="1" applyBorder="1" applyAlignment="1" applyProtection="1">
      <alignment horizontal="center" vertical="center"/>
      <protection locked="0"/>
    </xf>
    <xf numFmtId="0" fontId="16" fillId="9" borderId="9" xfId="0" applyFont="1" applyFill="1" applyBorder="1" applyAlignment="1" applyProtection="1">
      <alignment horizontal="center" vertical="center"/>
      <protection locked="0"/>
    </xf>
    <xf numFmtId="0" fontId="16" fillId="9" borderId="0" xfId="0" applyFont="1" applyFill="1" applyAlignment="1" applyProtection="1">
      <alignment horizontal="center" vertical="center"/>
      <protection locked="0"/>
    </xf>
    <xf numFmtId="181" fontId="58" fillId="9" borderId="14" xfId="4" applyNumberFormat="1" applyFont="1" applyFill="1" applyBorder="1" applyAlignment="1" applyProtection="1">
      <alignment horizontal="center" vertical="center"/>
      <protection locked="0"/>
    </xf>
    <xf numFmtId="181" fontId="58" fillId="9" borderId="21" xfId="4" applyNumberFormat="1" applyFont="1" applyFill="1" applyBorder="1" applyAlignment="1" applyProtection="1">
      <alignment horizontal="center" vertical="center"/>
      <protection locked="0"/>
    </xf>
    <xf numFmtId="0" fontId="16" fillId="9" borderId="64" xfId="0" applyFont="1" applyFill="1" applyBorder="1" applyAlignment="1" applyProtection="1">
      <alignment horizontal="center" vertical="center"/>
      <protection locked="0"/>
    </xf>
    <xf numFmtId="165" fontId="45" fillId="9" borderId="32" xfId="0" applyNumberFormat="1" applyFont="1" applyFill="1" applyBorder="1" applyAlignment="1" applyProtection="1">
      <alignment horizontal="center" vertical="center"/>
      <protection locked="0"/>
    </xf>
    <xf numFmtId="165" fontId="45" fillId="9" borderId="37" xfId="0" applyNumberFormat="1" applyFont="1" applyFill="1" applyBorder="1" applyAlignment="1" applyProtection="1">
      <alignment horizontal="center" vertical="center"/>
      <protection locked="0"/>
    </xf>
    <xf numFmtId="0" fontId="23" fillId="10" borderId="43" xfId="0" applyFont="1" applyFill="1" applyBorder="1" applyAlignment="1" applyProtection="1">
      <alignment horizontal="center" vertical="center"/>
      <protection locked="0"/>
    </xf>
    <xf numFmtId="42" fontId="16" fillId="10" borderId="72" xfId="0" applyNumberFormat="1" applyFont="1" applyFill="1" applyBorder="1" applyAlignment="1">
      <alignment vertical="center"/>
    </xf>
    <xf numFmtId="42" fontId="16" fillId="10" borderId="27" xfId="0" applyNumberFormat="1" applyFont="1" applyFill="1" applyBorder="1" applyAlignment="1">
      <alignment vertical="center"/>
    </xf>
    <xf numFmtId="42" fontId="16" fillId="10" borderId="63" xfId="0" applyNumberFormat="1" applyFont="1" applyFill="1" applyBorder="1" applyAlignment="1">
      <alignment vertical="center"/>
    </xf>
    <xf numFmtId="164" fontId="16" fillId="10" borderId="27" xfId="0" applyNumberFormat="1" applyFont="1" applyFill="1" applyBorder="1" applyAlignment="1">
      <alignment vertical="center"/>
    </xf>
    <xf numFmtId="164" fontId="16" fillId="10" borderId="72" xfId="0" applyNumberFormat="1" applyFont="1" applyFill="1" applyBorder="1" applyAlignment="1">
      <alignment vertical="center"/>
    </xf>
    <xf numFmtId="164" fontId="16" fillId="10" borderId="63" xfId="0" applyNumberFormat="1" applyFont="1" applyFill="1" applyBorder="1" applyAlignment="1">
      <alignment vertical="center"/>
    </xf>
    <xf numFmtId="0" fontId="23" fillId="10" borderId="76" xfId="0" applyFont="1" applyFill="1" applyBorder="1" applyAlignment="1" applyProtection="1">
      <alignment horizontal="center" vertical="center"/>
      <protection locked="0"/>
    </xf>
    <xf numFmtId="42" fontId="16" fillId="10" borderId="0" xfId="0" applyNumberFormat="1" applyFont="1" applyFill="1" applyAlignment="1">
      <alignment vertical="center"/>
    </xf>
    <xf numFmtId="42" fontId="16" fillId="10" borderId="9" xfId="0" applyNumberFormat="1" applyFont="1" applyFill="1" applyBorder="1" applyAlignment="1">
      <alignment vertical="center"/>
    </xf>
    <xf numFmtId="42" fontId="16" fillId="10" borderId="64" xfId="0" applyNumberFormat="1" applyFont="1" applyFill="1" applyBorder="1" applyAlignment="1">
      <alignment vertical="center"/>
    </xf>
    <xf numFmtId="167" fontId="14" fillId="9" borderId="3" xfId="3" applyNumberFormat="1" applyFont="1" applyFill="1" applyBorder="1" applyAlignment="1" applyProtection="1">
      <alignment horizontal="right" vertical="center"/>
    </xf>
    <xf numFmtId="167" fontId="14" fillId="9" borderId="39" xfId="3" applyNumberFormat="1" applyFont="1" applyFill="1" applyBorder="1" applyAlignment="1" applyProtection="1">
      <alignment horizontal="right" vertical="center"/>
    </xf>
    <xf numFmtId="167" fontId="14" fillId="9" borderId="41" xfId="3" applyNumberFormat="1" applyFont="1" applyFill="1" applyBorder="1" applyAlignment="1" applyProtection="1">
      <alignment horizontal="right" vertical="center"/>
    </xf>
    <xf numFmtId="167" fontId="14" fillId="9" borderId="68" xfId="3" applyNumberFormat="1" applyFont="1" applyFill="1" applyBorder="1" applyAlignment="1" applyProtection="1">
      <alignment horizontal="right" vertical="center"/>
    </xf>
    <xf numFmtId="167" fontId="14" fillId="9" borderId="23" xfId="3" applyNumberFormat="1" applyFont="1" applyFill="1" applyBorder="1" applyAlignment="1" applyProtection="1">
      <alignment horizontal="right" vertical="center"/>
    </xf>
    <xf numFmtId="167" fontId="14" fillId="9" borderId="53" xfId="3" applyNumberFormat="1" applyFont="1" applyFill="1" applyBorder="1" applyAlignment="1" applyProtection="1">
      <alignment horizontal="right" vertical="center"/>
    </xf>
    <xf numFmtId="167" fontId="14" fillId="9" borderId="24" xfId="3" applyNumberFormat="1" applyFont="1" applyFill="1" applyBorder="1" applyAlignment="1" applyProtection="1">
      <alignment horizontal="right" vertical="center"/>
    </xf>
    <xf numFmtId="167" fontId="14" fillId="9" borderId="62" xfId="3" applyNumberFormat="1" applyFont="1" applyFill="1" applyBorder="1" applyAlignment="1" applyProtection="1">
      <alignment horizontal="right" vertical="center"/>
    </xf>
    <xf numFmtId="169" fontId="47" fillId="10" borderId="76" xfId="0" applyNumberFormat="1" applyFont="1" applyFill="1" applyBorder="1" applyAlignment="1" applyProtection="1">
      <alignment horizontal="center" vertical="center"/>
      <protection locked="0"/>
    </xf>
    <xf numFmtId="2" fontId="18" fillId="10" borderId="0" xfId="0" applyNumberFormat="1" applyFont="1" applyFill="1" applyAlignment="1">
      <alignment horizontal="right" vertical="center"/>
    </xf>
    <xf numFmtId="2" fontId="18" fillId="10" borderId="9" xfId="0" applyNumberFormat="1" applyFont="1" applyFill="1" applyBorder="1" applyAlignment="1">
      <alignment horizontal="right" vertical="center"/>
    </xf>
    <xf numFmtId="2" fontId="18" fillId="10" borderId="64" xfId="0" applyNumberFormat="1" applyFont="1" applyFill="1" applyBorder="1" applyAlignment="1">
      <alignment horizontal="right" vertical="center"/>
    </xf>
    <xf numFmtId="169" fontId="47" fillId="10" borderId="22" xfId="0" applyNumberFormat="1" applyFont="1" applyFill="1" applyBorder="1" applyAlignment="1" applyProtection="1">
      <alignment horizontal="right" vertical="center"/>
      <protection locked="0"/>
    </xf>
    <xf numFmtId="167" fontId="18" fillId="10" borderId="53" xfId="3" applyNumberFormat="1" applyFont="1" applyFill="1" applyBorder="1" applyAlignment="1" applyProtection="1">
      <alignment horizontal="right" vertical="center"/>
    </xf>
    <xf numFmtId="167" fontId="18" fillId="10" borderId="23" xfId="3" applyNumberFormat="1" applyFont="1" applyFill="1" applyBorder="1" applyAlignment="1" applyProtection="1">
      <alignment horizontal="right" vertical="center"/>
    </xf>
    <xf numFmtId="167" fontId="18" fillId="10" borderId="62" xfId="3" applyNumberFormat="1" applyFont="1" applyFill="1" applyBorder="1" applyAlignment="1" applyProtection="1">
      <alignment horizontal="right" vertical="center"/>
    </xf>
    <xf numFmtId="172" fontId="50" fillId="10" borderId="75" xfId="0" applyNumberFormat="1" applyFont="1" applyFill="1" applyBorder="1" applyAlignment="1" applyProtection="1">
      <alignment horizontal="left" vertical="center"/>
      <protection locked="0"/>
    </xf>
    <xf numFmtId="41" fontId="18" fillId="10" borderId="5" xfId="4" applyNumberFormat="1" applyFont="1" applyFill="1" applyBorder="1" applyAlignment="1">
      <alignment horizontal="right" vertical="center"/>
    </xf>
    <xf numFmtId="41" fontId="18" fillId="10" borderId="4" xfId="4" applyNumberFormat="1" applyFont="1" applyFill="1" applyBorder="1" applyAlignment="1">
      <alignment horizontal="right" vertical="center"/>
    </xf>
    <xf numFmtId="41" fontId="18" fillId="10" borderId="84" xfId="4" applyNumberFormat="1" applyFont="1" applyFill="1" applyBorder="1" applyAlignment="1">
      <alignment horizontal="right" vertical="center"/>
    </xf>
    <xf numFmtId="173" fontId="50" fillId="10" borderId="76" xfId="0" applyNumberFormat="1" applyFont="1" applyFill="1" applyBorder="1" applyAlignment="1" applyProtection="1">
      <alignment horizontal="left" vertical="center"/>
      <protection locked="0"/>
    </xf>
    <xf numFmtId="41" fontId="18" fillId="10" borderId="21" xfId="4" applyNumberFormat="1" applyFont="1" applyFill="1" applyBorder="1" applyAlignment="1">
      <alignment horizontal="right" vertical="center"/>
    </xf>
    <xf numFmtId="41" fontId="18" fillId="10" borderId="14" xfId="4" applyNumberFormat="1" applyFont="1" applyFill="1" applyBorder="1" applyAlignment="1">
      <alignment horizontal="right" vertical="center"/>
    </xf>
    <xf numFmtId="41" fontId="18" fillId="10" borderId="57" xfId="4" applyNumberFormat="1" applyFont="1" applyFill="1" applyBorder="1" applyAlignment="1">
      <alignment horizontal="right" vertical="center"/>
    </xf>
    <xf numFmtId="175" fontId="15" fillId="10" borderId="0" xfId="1" applyNumberFormat="1" applyFont="1" applyFill="1" applyBorder="1" applyAlignment="1" applyProtection="1">
      <alignment horizontal="right" vertical="center"/>
    </xf>
    <xf numFmtId="175" fontId="15" fillId="10" borderId="9" xfId="1" applyNumberFormat="1" applyFont="1" applyFill="1" applyBorder="1" applyAlignment="1" applyProtection="1">
      <alignment horizontal="right" vertical="center"/>
    </xf>
    <xf numFmtId="175" fontId="15" fillId="10" borderId="64" xfId="1" applyNumberFormat="1" applyFont="1" applyFill="1" applyBorder="1" applyAlignment="1" applyProtection="1">
      <alignment horizontal="right" vertical="center"/>
    </xf>
    <xf numFmtId="175" fontId="16" fillId="10" borderId="21" xfId="1" applyNumberFormat="1" applyFont="1" applyFill="1" applyBorder="1" applyAlignment="1" applyProtection="1">
      <alignment horizontal="right" vertical="center"/>
    </xf>
    <xf numFmtId="175" fontId="16" fillId="10" borderId="14" xfId="1" applyNumberFormat="1" applyFont="1" applyFill="1" applyBorder="1" applyAlignment="1" applyProtection="1">
      <alignment horizontal="right" vertical="center"/>
    </xf>
    <xf numFmtId="175" fontId="16" fillId="10" borderId="57" xfId="1" applyNumberFormat="1" applyFont="1" applyFill="1" applyBorder="1" applyAlignment="1" applyProtection="1">
      <alignment horizontal="right" vertical="center"/>
    </xf>
    <xf numFmtId="9" fontId="14" fillId="10" borderId="53" xfId="3" applyFont="1" applyFill="1" applyBorder="1" applyAlignment="1" applyProtection="1">
      <alignment horizontal="right" vertical="center"/>
    </xf>
    <xf numFmtId="9" fontId="14" fillId="10" borderId="23" xfId="3" applyFont="1" applyFill="1" applyBorder="1" applyAlignment="1" applyProtection="1">
      <alignment horizontal="right" vertical="center"/>
    </xf>
    <xf numFmtId="9" fontId="14" fillId="10" borderId="62" xfId="3" applyFont="1" applyFill="1" applyBorder="1" applyAlignment="1" applyProtection="1">
      <alignment horizontal="right" vertical="center"/>
    </xf>
    <xf numFmtId="0" fontId="62" fillId="0" borderId="0" xfId="0" applyFont="1" applyAlignment="1">
      <alignment vertical="top"/>
    </xf>
    <xf numFmtId="0" fontId="63" fillId="0" borderId="34" xfId="0" applyFont="1" applyBorder="1" applyAlignment="1">
      <alignment vertical="top"/>
    </xf>
    <xf numFmtId="0" fontId="63" fillId="0" borderId="64" xfId="0" applyFont="1" applyBorder="1" applyAlignment="1">
      <alignment vertical="top"/>
    </xf>
    <xf numFmtId="0" fontId="61" fillId="8" borderId="7" xfId="0" applyFont="1" applyFill="1" applyBorder="1" applyAlignment="1">
      <alignment horizontal="center" vertical="top"/>
    </xf>
    <xf numFmtId="0" fontId="61" fillId="0" borderId="65" xfId="0" applyFont="1" applyBorder="1" applyAlignment="1">
      <alignment vertical="top"/>
    </xf>
    <xf numFmtId="0" fontId="61" fillId="0" borderId="0" xfId="0" applyFont="1" applyAlignment="1">
      <alignment vertical="top"/>
    </xf>
    <xf numFmtId="0" fontId="61" fillId="8" borderId="7" xfId="0" applyFont="1" applyFill="1" applyBorder="1" applyAlignment="1">
      <alignment horizontal="right" vertical="top"/>
    </xf>
    <xf numFmtId="168" fontId="61" fillId="0" borderId="65" xfId="0" applyNumberFormat="1" applyFont="1" applyBorder="1" applyAlignment="1">
      <alignment vertical="top"/>
    </xf>
    <xf numFmtId="0" fontId="64" fillId="8" borderId="7" xfId="0" applyFont="1" applyFill="1" applyBorder="1" applyAlignment="1">
      <alignment horizontal="right" vertical="top"/>
    </xf>
    <xf numFmtId="168" fontId="62" fillId="0" borderId="65" xfId="0" applyNumberFormat="1" applyFont="1" applyBorder="1" applyAlignment="1">
      <alignment vertical="top"/>
    </xf>
    <xf numFmtId="0" fontId="49" fillId="0" borderId="0" xfId="0" applyFont="1" applyAlignment="1">
      <alignment vertical="top"/>
    </xf>
    <xf numFmtId="0" fontId="14" fillId="0" borderId="52" xfId="0" applyFont="1" applyBorder="1"/>
    <xf numFmtId="0" fontId="14" fillId="0" borderId="53" xfId="0" applyFont="1" applyBorder="1"/>
    <xf numFmtId="0" fontId="14" fillId="0" borderId="54" xfId="0" applyFont="1" applyBorder="1"/>
    <xf numFmtId="0" fontId="14" fillId="0" borderId="0" xfId="0" applyFont="1" applyAlignment="1">
      <alignment horizontal="left"/>
    </xf>
    <xf numFmtId="0" fontId="63" fillId="0" borderId="39" xfId="0" applyFont="1" applyBorder="1" applyAlignment="1">
      <alignment vertical="top"/>
    </xf>
    <xf numFmtId="0" fontId="14" fillId="0" borderId="61" xfId="0" applyFont="1" applyBorder="1"/>
    <xf numFmtId="0" fontId="62" fillId="8" borderId="0" xfId="0" applyFont="1" applyFill="1" applyAlignment="1">
      <alignment horizontal="center" vertical="top"/>
    </xf>
    <xf numFmtId="10" fontId="15" fillId="16" borderId="30" xfId="0" applyNumberFormat="1" applyFont="1" applyFill="1" applyBorder="1" applyAlignment="1">
      <alignment horizontal="center" vertical="top"/>
    </xf>
    <xf numFmtId="0" fontId="14" fillId="0" borderId="65" xfId="0" applyFont="1" applyBorder="1"/>
    <xf numFmtId="0" fontId="62" fillId="8" borderId="0" xfId="0" applyFont="1" applyFill="1" applyAlignment="1">
      <alignment horizontal="right" vertical="top"/>
    </xf>
    <xf numFmtId="37" fontId="15" fillId="16" borderId="30" xfId="1" applyNumberFormat="1" applyFont="1" applyFill="1" applyBorder="1" applyAlignment="1">
      <alignment horizontal="center" vertical="top"/>
    </xf>
    <xf numFmtId="167" fontId="15" fillId="16" borderId="30" xfId="3" applyNumberFormat="1" applyFont="1" applyFill="1" applyBorder="1" applyAlignment="1">
      <alignment horizontal="center" vertical="top"/>
    </xf>
    <xf numFmtId="0" fontId="8" fillId="2" borderId="57" xfId="0" applyFont="1" applyFill="1" applyBorder="1" applyAlignment="1" applyProtection="1">
      <alignment horizontal="center" vertical="center"/>
      <protection locked="0"/>
    </xf>
    <xf numFmtId="0" fontId="8" fillId="2" borderId="58" xfId="0" applyFont="1" applyFill="1" applyBorder="1" applyAlignment="1" applyProtection="1">
      <alignment horizontal="center" vertical="center"/>
      <protection locked="0"/>
    </xf>
    <xf numFmtId="0" fontId="8" fillId="2" borderId="59" xfId="0" applyFont="1" applyFill="1" applyBorder="1" applyAlignment="1" applyProtection="1">
      <alignment horizontal="center" vertical="center"/>
      <protection locked="0"/>
    </xf>
    <xf numFmtId="0" fontId="8" fillId="2" borderId="60" xfId="0" applyFont="1" applyFill="1" applyBorder="1" applyAlignment="1" applyProtection="1">
      <alignment horizontal="center" vertical="center"/>
      <protection locked="0"/>
    </xf>
    <xf numFmtId="0" fontId="5" fillId="11" borderId="62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6" fillId="9" borderId="26" xfId="0" applyFont="1" applyFill="1" applyBorder="1" applyAlignment="1" applyProtection="1">
      <alignment horizontal="left"/>
      <protection locked="0"/>
    </xf>
    <xf numFmtId="0" fontId="16" fillId="9" borderId="27" xfId="0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3" fontId="14" fillId="0" borderId="0" xfId="0" applyNumberFormat="1" applyFont="1" applyAlignment="1" applyProtection="1">
      <alignment horizontal="center"/>
      <protection locked="0"/>
    </xf>
    <xf numFmtId="0" fontId="16" fillId="0" borderId="52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9" borderId="63" xfId="0" applyFont="1" applyFill="1" applyBorder="1" applyAlignment="1" applyProtection="1">
      <alignment horizontal="center"/>
      <protection locked="0"/>
    </xf>
    <xf numFmtId="0" fontId="16" fillId="8" borderId="0" xfId="0" applyFont="1" applyFill="1" applyAlignment="1" applyProtection="1">
      <alignment horizontal="center"/>
      <protection locked="0"/>
    </xf>
    <xf numFmtId="3" fontId="14" fillId="0" borderId="0" xfId="2" applyNumberFormat="1" applyFont="1" applyBorder="1" applyAlignment="1" applyProtection="1">
      <alignment horizontal="center"/>
      <protection locked="0"/>
    </xf>
    <xf numFmtId="3" fontId="14" fillId="0" borderId="39" xfId="2" applyNumberFormat="1" applyFont="1" applyBorder="1" applyAlignment="1" applyProtection="1">
      <alignment horizontal="center"/>
      <protection locked="0"/>
    </xf>
    <xf numFmtId="3" fontId="16" fillId="8" borderId="0" xfId="2" applyNumberFormat="1" applyFont="1" applyFill="1" applyBorder="1" applyAlignment="1" applyProtection="1">
      <alignment horizontal="center"/>
      <protection locked="0"/>
    </xf>
    <xf numFmtId="3" fontId="16" fillId="0" borderId="0" xfId="0" applyNumberFormat="1" applyFont="1" applyProtection="1">
      <protection locked="0"/>
    </xf>
    <xf numFmtId="3" fontId="14" fillId="0" borderId="53" xfId="0" applyNumberFormat="1" applyFont="1" applyBorder="1" applyAlignment="1" applyProtection="1">
      <alignment horizontal="center"/>
      <protection locked="0"/>
    </xf>
    <xf numFmtId="3" fontId="14" fillId="8" borderId="0" xfId="2" applyNumberFormat="1" applyFont="1" applyFill="1" applyBorder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3" fontId="14" fillId="8" borderId="0" xfId="0" applyNumberFormat="1" applyFont="1" applyFill="1" applyAlignment="1" applyProtection="1">
      <alignment horizontal="center"/>
      <protection locked="0"/>
    </xf>
    <xf numFmtId="3" fontId="16" fillId="0" borderId="64" xfId="2" applyNumberFormat="1" applyFont="1" applyBorder="1" applyAlignment="1" applyProtection="1">
      <alignment horizontal="center"/>
    </xf>
    <xf numFmtId="3" fontId="16" fillId="0" borderId="62" xfId="2" applyNumberFormat="1" applyFont="1" applyBorder="1" applyAlignment="1" applyProtection="1">
      <alignment horizontal="center"/>
    </xf>
    <xf numFmtId="0" fontId="16" fillId="9" borderId="1" xfId="0" applyFont="1" applyFill="1" applyBorder="1" applyProtection="1">
      <protection locked="0"/>
    </xf>
    <xf numFmtId="0" fontId="16" fillId="9" borderId="39" xfId="0" applyFont="1" applyFill="1" applyBorder="1" applyProtection="1">
      <protection locked="0"/>
    </xf>
    <xf numFmtId="0" fontId="16" fillId="9" borderId="39" xfId="0" applyFont="1" applyFill="1" applyBorder="1" applyAlignment="1" applyProtection="1">
      <alignment horizontal="center"/>
      <protection locked="0"/>
    </xf>
    <xf numFmtId="0" fontId="16" fillId="9" borderId="61" xfId="0" applyFont="1" applyFill="1" applyBorder="1" applyAlignment="1" applyProtection="1">
      <alignment horizontal="center"/>
      <protection locked="0"/>
    </xf>
    <xf numFmtId="0" fontId="16" fillId="9" borderId="25" xfId="0" applyFont="1" applyFill="1" applyBorder="1" applyProtection="1">
      <protection locked="0"/>
    </xf>
    <xf numFmtId="0" fontId="16" fillId="9" borderId="21" xfId="0" applyFont="1" applyFill="1" applyBorder="1" applyProtection="1">
      <protection locked="0"/>
    </xf>
    <xf numFmtId="0" fontId="16" fillId="9" borderId="21" xfId="0" applyFont="1" applyFill="1" applyBorder="1" applyAlignment="1" applyProtection="1">
      <alignment horizontal="center"/>
      <protection locked="0"/>
    </xf>
    <xf numFmtId="0" fontId="16" fillId="9" borderId="66" xfId="0" applyFont="1" applyFill="1" applyBorder="1" applyAlignment="1" applyProtection="1">
      <alignment horizontal="center"/>
      <protection locked="0"/>
    </xf>
    <xf numFmtId="0" fontId="14" fillId="0" borderId="65" xfId="0" applyFont="1" applyBorder="1" applyAlignment="1" applyProtection="1">
      <alignment horizontal="center"/>
      <protection locked="0"/>
    </xf>
    <xf numFmtId="0" fontId="20" fillId="10" borderId="7" xfId="0" applyFont="1" applyFill="1" applyBorder="1" applyAlignment="1" applyProtection="1">
      <alignment horizontal="right"/>
      <protection locked="0"/>
    </xf>
    <xf numFmtId="0" fontId="20" fillId="10" borderId="0" xfId="0" applyFont="1" applyFill="1" applyProtection="1">
      <protection locked="0"/>
    </xf>
    <xf numFmtId="0" fontId="20" fillId="10" borderId="0" xfId="0" applyFont="1" applyFill="1" applyAlignment="1" applyProtection="1">
      <alignment horizontal="center"/>
      <protection locked="0"/>
    </xf>
    <xf numFmtId="0" fontId="20" fillId="10" borderId="0" xfId="0" quotePrefix="1" applyFont="1" applyFill="1" applyProtection="1">
      <protection locked="0"/>
    </xf>
    <xf numFmtId="0" fontId="14" fillId="0" borderId="34" xfId="0" applyFont="1" applyBorder="1" applyAlignment="1" applyProtection="1">
      <alignment horizontal="center"/>
      <protection locked="0"/>
    </xf>
    <xf numFmtId="0" fontId="14" fillId="0" borderId="35" xfId="0" applyFont="1" applyBorder="1" applyProtection="1">
      <protection locked="0"/>
    </xf>
    <xf numFmtId="0" fontId="14" fillId="0" borderId="35" xfId="0" applyFont="1" applyBorder="1" applyAlignment="1" applyProtection="1">
      <alignment horizontal="center"/>
      <protection locked="0"/>
    </xf>
    <xf numFmtId="0" fontId="19" fillId="10" borderId="52" xfId="0" applyFont="1" applyFill="1" applyBorder="1" applyAlignment="1" applyProtection="1">
      <alignment horizontal="center"/>
      <protection locked="0"/>
    </xf>
    <xf numFmtId="0" fontId="19" fillId="10" borderId="53" xfId="0" applyFont="1" applyFill="1" applyBorder="1" applyProtection="1">
      <protection locked="0"/>
    </xf>
    <xf numFmtId="0" fontId="19" fillId="10" borderId="53" xfId="0" applyFont="1" applyFill="1" applyBorder="1" applyAlignment="1" applyProtection="1">
      <alignment horizontal="center"/>
      <protection locked="0"/>
    </xf>
    <xf numFmtId="0" fontId="14" fillId="0" borderId="65" xfId="0" applyFont="1" applyBorder="1" applyAlignment="1">
      <alignment horizontal="center"/>
    </xf>
    <xf numFmtId="0" fontId="20" fillId="10" borderId="65" xfId="0" applyFont="1" applyFill="1" applyBorder="1" applyAlignment="1">
      <alignment horizontal="center"/>
    </xf>
    <xf numFmtId="0" fontId="14" fillId="0" borderId="67" xfId="0" applyFont="1" applyBorder="1" applyAlignment="1">
      <alignment horizontal="center"/>
    </xf>
    <xf numFmtId="0" fontId="19" fillId="10" borderId="54" xfId="0" applyFont="1" applyFill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9" fillId="10" borderId="53" xfId="0" applyFont="1" applyFill="1" applyBorder="1" applyAlignment="1">
      <alignment horizontal="center"/>
    </xf>
    <xf numFmtId="0" fontId="16" fillId="11" borderId="63" xfId="0" applyFont="1" applyFill="1" applyBorder="1" applyAlignment="1" applyProtection="1">
      <alignment horizontal="center"/>
      <protection locked="0"/>
    </xf>
    <xf numFmtId="166" fontId="14" fillId="0" borderId="0" xfId="0" applyNumberFormat="1" applyFont="1" applyProtection="1">
      <protection locked="0"/>
    </xf>
    <xf numFmtId="0" fontId="14" fillId="0" borderId="74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6" fillId="9" borderId="26" xfId="0" applyFont="1" applyFill="1" applyBorder="1" applyAlignment="1" applyProtection="1">
      <alignment horizontal="center"/>
      <protection locked="0"/>
    </xf>
    <xf numFmtId="0" fontId="16" fillId="9" borderId="40" xfId="0" applyFont="1" applyFill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left"/>
      <protection locked="0"/>
    </xf>
    <xf numFmtId="168" fontId="14" fillId="0" borderId="39" xfId="0" applyNumberFormat="1" applyFont="1" applyBorder="1" applyAlignment="1" applyProtection="1">
      <alignment horizontal="center"/>
      <protection locked="0"/>
    </xf>
    <xf numFmtId="168" fontId="14" fillId="0" borderId="39" xfId="0" applyNumberFormat="1" applyFont="1" applyBorder="1" applyAlignment="1" applyProtection="1">
      <alignment horizontal="center" vertical="center"/>
      <protection locked="0"/>
    </xf>
    <xf numFmtId="168" fontId="14" fillId="0" borderId="0" xfId="0" applyNumberFormat="1" applyFont="1" applyAlignment="1" applyProtection="1">
      <alignment horizontal="center"/>
      <protection locked="0"/>
    </xf>
    <xf numFmtId="168" fontId="14" fillId="0" borderId="21" xfId="0" applyNumberFormat="1" applyFont="1" applyBorder="1" applyAlignment="1" applyProtection="1">
      <alignment horizontal="center"/>
      <protection locked="0"/>
    </xf>
    <xf numFmtId="168" fontId="14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right"/>
      <protection locked="0"/>
    </xf>
    <xf numFmtId="168" fontId="16" fillId="10" borderId="0" xfId="0" applyNumberFormat="1" applyFont="1" applyFill="1" applyAlignment="1" applyProtection="1">
      <alignment horizontal="center"/>
      <protection locked="0"/>
    </xf>
    <xf numFmtId="0" fontId="14" fillId="10" borderId="65" xfId="0" applyFont="1" applyFill="1" applyBorder="1" applyAlignment="1" applyProtection="1">
      <alignment horizontal="center"/>
      <protection locked="0"/>
    </xf>
    <xf numFmtId="0" fontId="16" fillId="11" borderId="52" xfId="0" applyFont="1" applyFill="1" applyBorder="1" applyAlignment="1" applyProtection="1">
      <alignment horizontal="right"/>
      <protection locked="0"/>
    </xf>
    <xf numFmtId="168" fontId="16" fillId="11" borderId="53" xfId="0" applyNumberFormat="1" applyFont="1" applyFill="1" applyBorder="1" applyAlignment="1" applyProtection="1">
      <alignment horizontal="center"/>
      <protection locked="0"/>
    </xf>
    <xf numFmtId="167" fontId="37" fillId="11" borderId="53" xfId="3" applyNumberFormat="1" applyFont="1" applyFill="1" applyBorder="1" applyAlignment="1" applyProtection="1">
      <alignment horizontal="center"/>
      <protection locked="0"/>
    </xf>
    <xf numFmtId="0" fontId="16" fillId="11" borderId="54" xfId="0" applyFont="1" applyFill="1" applyBorder="1" applyAlignment="1" applyProtection="1">
      <alignment horizontal="center"/>
      <protection locked="0"/>
    </xf>
    <xf numFmtId="167" fontId="20" fillId="0" borderId="39" xfId="3" applyNumberFormat="1" applyFont="1" applyBorder="1" applyAlignment="1" applyProtection="1">
      <alignment horizontal="center" vertical="center"/>
    </xf>
    <xf numFmtId="168" fontId="14" fillId="0" borderId="39" xfId="0" applyNumberFormat="1" applyFont="1" applyBorder="1" applyAlignment="1">
      <alignment horizontal="center" vertical="center"/>
    </xf>
    <xf numFmtId="167" fontId="20" fillId="0" borderId="0" xfId="3" applyNumberFormat="1" applyFont="1" applyBorder="1" applyAlignment="1" applyProtection="1">
      <alignment horizontal="center" vertical="center"/>
    </xf>
    <xf numFmtId="168" fontId="14" fillId="0" borderId="0" xfId="0" applyNumberFormat="1" applyFont="1" applyAlignment="1">
      <alignment horizontal="center" vertical="center"/>
    </xf>
    <xf numFmtId="167" fontId="20" fillId="0" borderId="21" xfId="3" applyNumberFormat="1" applyFont="1" applyBorder="1" applyAlignment="1" applyProtection="1">
      <alignment horizontal="center" vertical="center"/>
    </xf>
    <xf numFmtId="168" fontId="14" fillId="0" borderId="21" xfId="0" applyNumberFormat="1" applyFont="1" applyBorder="1" applyAlignment="1">
      <alignment horizontal="center" vertical="center"/>
    </xf>
    <xf numFmtId="167" fontId="37" fillId="10" borderId="0" xfId="3" applyNumberFormat="1" applyFont="1" applyFill="1" applyBorder="1" applyAlignment="1" applyProtection="1">
      <alignment horizontal="center"/>
    </xf>
    <xf numFmtId="168" fontId="16" fillId="10" borderId="0" xfId="0" applyNumberFormat="1" applyFont="1" applyFill="1" applyAlignment="1">
      <alignment horizontal="center"/>
    </xf>
    <xf numFmtId="168" fontId="14" fillId="0" borderId="21" xfId="0" applyNumberFormat="1" applyFont="1" applyBorder="1" applyAlignment="1">
      <alignment horizontal="center"/>
    </xf>
    <xf numFmtId="168" fontId="16" fillId="11" borderId="53" xfId="0" applyNumberFormat="1" applyFont="1" applyFill="1" applyBorder="1" applyAlignment="1">
      <alignment horizontal="center"/>
    </xf>
    <xf numFmtId="0" fontId="16" fillId="0" borderId="39" xfId="0" applyFont="1" applyBorder="1" applyProtection="1">
      <protection locked="0"/>
    </xf>
    <xf numFmtId="0" fontId="16" fillId="9" borderId="14" xfId="0" applyFont="1" applyFill="1" applyBorder="1" applyAlignment="1" applyProtection="1">
      <alignment horizontal="center"/>
      <protection locked="0"/>
    </xf>
    <xf numFmtId="0" fontId="16" fillId="9" borderId="47" xfId="0" applyFont="1" applyFill="1" applyBorder="1" applyAlignment="1" applyProtection="1">
      <alignment horizontal="center"/>
      <protection locked="0"/>
    </xf>
    <xf numFmtId="0" fontId="16" fillId="0" borderId="7" xfId="0" applyFont="1" applyBorder="1" applyProtection="1">
      <protection locked="0"/>
    </xf>
    <xf numFmtId="164" fontId="14" fillId="0" borderId="9" xfId="2" applyNumberFormat="1" applyFont="1" applyBorder="1" applyProtection="1">
      <protection locked="0"/>
    </xf>
    <xf numFmtId="164" fontId="14" fillId="0" borderId="0" xfId="2" applyNumberFormat="1" applyFont="1" applyBorder="1" applyProtection="1">
      <protection locked="0"/>
    </xf>
    <xf numFmtId="164" fontId="14" fillId="0" borderId="65" xfId="2" applyNumberFormat="1" applyFont="1" applyBorder="1" applyProtection="1">
      <protection locked="0"/>
    </xf>
    <xf numFmtId="164" fontId="14" fillId="0" borderId="77" xfId="2" applyNumberFormat="1" applyFont="1" applyBorder="1" applyProtection="1">
      <protection locked="0"/>
    </xf>
    <xf numFmtId="164" fontId="14" fillId="0" borderId="78" xfId="2" applyNumberFormat="1" applyFont="1" applyBorder="1" applyProtection="1">
      <protection locked="0"/>
    </xf>
    <xf numFmtId="164" fontId="14" fillId="0" borderId="80" xfId="2" applyNumberFormat="1" applyFont="1" applyBorder="1" applyProtection="1">
      <protection locked="0"/>
    </xf>
    <xf numFmtId="0" fontId="16" fillId="0" borderId="53" xfId="0" applyFont="1" applyBorder="1" applyProtection="1">
      <protection locked="0"/>
    </xf>
    <xf numFmtId="0" fontId="18" fillId="0" borderId="1" xfId="0" applyFont="1" applyBorder="1" applyProtection="1">
      <protection locked="0"/>
    </xf>
    <xf numFmtId="164" fontId="18" fillId="11" borderId="4" xfId="0" applyNumberFormat="1" applyFont="1" applyFill="1" applyBorder="1" applyProtection="1">
      <protection locked="0"/>
    </xf>
    <xf numFmtId="164" fontId="18" fillId="11" borderId="5" xfId="0" applyNumberFormat="1" applyFont="1" applyFill="1" applyBorder="1" applyProtection="1">
      <protection locked="0"/>
    </xf>
    <xf numFmtId="166" fontId="14" fillId="4" borderId="0" xfId="1" applyNumberFormat="1" applyFont="1" applyFill="1" applyProtection="1">
      <protection locked="0"/>
    </xf>
    <xf numFmtId="164" fontId="14" fillId="0" borderId="76" xfId="2" applyNumberFormat="1" applyFont="1" applyBorder="1" applyProtection="1"/>
    <xf numFmtId="164" fontId="14" fillId="0" borderId="79" xfId="2" applyNumberFormat="1" applyFont="1" applyBorder="1" applyProtection="1"/>
    <xf numFmtId="164" fontId="16" fillId="11" borderId="22" xfId="0" applyNumberFormat="1" applyFont="1" applyFill="1" applyBorder="1"/>
    <xf numFmtId="164" fontId="16" fillId="11" borderId="23" xfId="0" applyNumberFormat="1" applyFont="1" applyFill="1" applyBorder="1"/>
    <xf numFmtId="164" fontId="16" fillId="11" borderId="53" xfId="0" applyNumberFormat="1" applyFont="1" applyFill="1" applyBorder="1"/>
    <xf numFmtId="164" fontId="16" fillId="11" borderId="54" xfId="0" applyNumberFormat="1" applyFont="1" applyFill="1" applyBorder="1"/>
    <xf numFmtId="164" fontId="14" fillId="0" borderId="65" xfId="2" applyNumberFormat="1" applyFont="1" applyBorder="1" applyProtection="1"/>
    <xf numFmtId="164" fontId="14" fillId="0" borderId="80" xfId="2" applyNumberFormat="1" applyFont="1" applyBorder="1" applyProtection="1"/>
    <xf numFmtId="0" fontId="0" fillId="0" borderId="0" xfId="0" applyProtection="1">
      <protection locked="0"/>
    </xf>
    <xf numFmtId="0" fontId="4" fillId="9" borderId="69" xfId="0" applyFont="1" applyFill="1" applyBorder="1" applyProtection="1">
      <protection locked="0"/>
    </xf>
    <xf numFmtId="0" fontId="4" fillId="9" borderId="71" xfId="0" applyFont="1" applyFill="1" applyBorder="1" applyProtection="1">
      <protection locked="0"/>
    </xf>
    <xf numFmtId="0" fontId="5" fillId="9" borderId="23" xfId="0" applyFont="1" applyFill="1" applyBorder="1" applyAlignment="1" applyProtection="1">
      <alignment horizontal="center"/>
      <protection locked="0"/>
    </xf>
    <xf numFmtId="0" fontId="5" fillId="9" borderId="53" xfId="0" applyFont="1" applyFill="1" applyBorder="1" applyAlignment="1" applyProtection="1">
      <alignment horizontal="center"/>
      <protection locked="0"/>
    </xf>
    <xf numFmtId="0" fontId="5" fillId="9" borderId="22" xfId="0" applyFont="1" applyFill="1" applyBorder="1" applyAlignment="1" applyProtection="1">
      <alignment horizontal="center"/>
      <protection locked="0"/>
    </xf>
    <xf numFmtId="0" fontId="5" fillId="9" borderId="24" xfId="0" applyFont="1" applyFill="1" applyBorder="1" applyAlignment="1" applyProtection="1">
      <alignment horizontal="center"/>
      <protection locked="0"/>
    </xf>
    <xf numFmtId="0" fontId="5" fillId="0" borderId="81" xfId="0" applyFont="1" applyBorder="1" applyProtection="1">
      <protection locked="0"/>
    </xf>
    <xf numFmtId="164" fontId="4" fillId="0" borderId="9" xfId="2" applyNumberFormat="1" applyFont="1" applyBorder="1" applyProtection="1">
      <protection locked="0"/>
    </xf>
    <xf numFmtId="164" fontId="4" fillId="0" borderId="0" xfId="2" applyNumberFormat="1" applyFont="1" applyBorder="1" applyProtection="1">
      <protection locked="0"/>
    </xf>
    <xf numFmtId="164" fontId="4" fillId="0" borderId="76" xfId="2" applyNumberFormat="1" applyFont="1" applyBorder="1" applyProtection="1">
      <protection locked="0"/>
    </xf>
    <xf numFmtId="164" fontId="4" fillId="0" borderId="12" xfId="2" applyNumberFormat="1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81" xfId="0" applyFont="1" applyBorder="1" applyAlignment="1" applyProtection="1">
      <alignment horizontal="left"/>
      <protection locked="0"/>
    </xf>
    <xf numFmtId="0" fontId="4" fillId="0" borderId="82" xfId="0" applyFont="1" applyBorder="1" applyAlignment="1" applyProtection="1">
      <alignment horizontal="left"/>
      <protection locked="0"/>
    </xf>
    <xf numFmtId="0" fontId="4" fillId="0" borderId="77" xfId="0" applyFont="1" applyBorder="1" applyProtection="1">
      <protection locked="0"/>
    </xf>
    <xf numFmtId="164" fontId="4" fillId="0" borderId="78" xfId="2" applyNumberFormat="1" applyFont="1" applyBorder="1" applyProtection="1">
      <protection locked="0"/>
    </xf>
    <xf numFmtId="164" fontId="4" fillId="0" borderId="79" xfId="2" applyNumberFormat="1" applyFont="1" applyBorder="1" applyProtection="1">
      <protection locked="0"/>
    </xf>
    <xf numFmtId="164" fontId="4" fillId="0" borderId="83" xfId="2" applyNumberFormat="1" applyFont="1" applyBorder="1" applyProtection="1">
      <protection locked="0"/>
    </xf>
    <xf numFmtId="0" fontId="4" fillId="10" borderId="81" xfId="0" applyFont="1" applyFill="1" applyBorder="1" applyAlignment="1" applyProtection="1">
      <alignment horizontal="left"/>
      <protection locked="0"/>
    </xf>
    <xf numFmtId="0" fontId="5" fillId="11" borderId="42" xfId="0" applyFont="1" applyFill="1" applyBorder="1" applyProtection="1">
      <protection locked="0"/>
    </xf>
    <xf numFmtId="164" fontId="4" fillId="10" borderId="0" xfId="2" applyNumberFormat="1" applyFont="1" applyFill="1" applyBorder="1" applyProtection="1"/>
    <xf numFmtId="164" fontId="4" fillId="10" borderId="76" xfId="2" applyNumberFormat="1" applyFont="1" applyFill="1" applyBorder="1" applyProtection="1"/>
    <xf numFmtId="164" fontId="4" fillId="10" borderId="12" xfId="2" applyNumberFormat="1" applyFont="1" applyFill="1" applyBorder="1" applyProtection="1"/>
    <xf numFmtId="164" fontId="4" fillId="11" borderId="27" xfId="2" applyNumberFormat="1" applyFont="1" applyFill="1" applyBorder="1" applyProtection="1"/>
    <xf numFmtId="164" fontId="4" fillId="11" borderId="43" xfId="2" applyNumberFormat="1" applyFont="1" applyFill="1" applyBorder="1" applyProtection="1"/>
    <xf numFmtId="164" fontId="4" fillId="11" borderId="45" xfId="2" applyNumberFormat="1" applyFont="1" applyFill="1" applyBorder="1" applyProtection="1"/>
    <xf numFmtId="0" fontId="16" fillId="6" borderId="14" xfId="0" applyFont="1" applyFill="1" applyBorder="1" applyAlignment="1" applyProtection="1">
      <alignment horizontal="center"/>
      <protection locked="0"/>
    </xf>
    <xf numFmtId="0" fontId="16" fillId="6" borderId="21" xfId="0" applyFont="1" applyFill="1" applyBorder="1" applyAlignment="1" applyProtection="1">
      <alignment horizontal="center"/>
      <protection locked="0"/>
    </xf>
    <xf numFmtId="0" fontId="16" fillId="6" borderId="66" xfId="0" applyFont="1" applyFill="1" applyBorder="1" applyAlignment="1" applyProtection="1">
      <alignment horizontal="center"/>
      <protection locked="0"/>
    </xf>
    <xf numFmtId="164" fontId="16" fillId="5" borderId="23" xfId="0" applyNumberFormat="1" applyFont="1" applyFill="1" applyBorder="1" applyProtection="1">
      <protection locked="0"/>
    </xf>
    <xf numFmtId="164" fontId="16" fillId="5" borderId="53" xfId="0" applyNumberFormat="1" applyFont="1" applyFill="1" applyBorder="1" applyProtection="1">
      <protection locked="0"/>
    </xf>
    <xf numFmtId="164" fontId="16" fillId="5" borderId="54" xfId="0" applyNumberFormat="1" applyFont="1" applyFill="1" applyBorder="1" applyProtection="1">
      <protection locked="0"/>
    </xf>
    <xf numFmtId="164" fontId="16" fillId="5" borderId="0" xfId="0" applyNumberFormat="1" applyFont="1" applyFill="1" applyProtection="1">
      <protection locked="0"/>
    </xf>
    <xf numFmtId="164" fontId="14" fillId="0" borderId="0" xfId="0" applyNumberFormat="1" applyFont="1" applyProtection="1">
      <protection locked="0"/>
    </xf>
    <xf numFmtId="166" fontId="59" fillId="0" borderId="0" xfId="1" applyNumberFormat="1" applyFont="1" applyProtection="1">
      <protection locked="0"/>
    </xf>
    <xf numFmtId="0" fontId="5" fillId="9" borderId="26" xfId="0" applyFont="1" applyFill="1" applyBorder="1" applyProtection="1">
      <protection locked="0"/>
    </xf>
    <xf numFmtId="0" fontId="5" fillId="9" borderId="27" xfId="0" applyFont="1" applyFill="1" applyBorder="1" applyProtection="1">
      <protection locked="0"/>
    </xf>
    <xf numFmtId="0" fontId="4" fillId="0" borderId="7" xfId="0" applyFont="1" applyBorder="1" applyProtection="1">
      <protection locked="0"/>
    </xf>
    <xf numFmtId="0" fontId="18" fillId="10" borderId="26" xfId="0" applyFont="1" applyFill="1" applyBorder="1" applyAlignment="1" applyProtection="1">
      <alignment horizontal="right"/>
      <protection locked="0"/>
    </xf>
    <xf numFmtId="0" fontId="4" fillId="10" borderId="27" xfId="0" applyFont="1" applyFill="1" applyBorder="1" applyProtection="1">
      <protection locked="0"/>
    </xf>
    <xf numFmtId="167" fontId="18" fillId="0" borderId="0" xfId="3" applyNumberFormat="1" applyFont="1" applyBorder="1" applyAlignment="1" applyProtection="1">
      <alignment horizontal="center"/>
    </xf>
    <xf numFmtId="167" fontId="18" fillId="10" borderId="27" xfId="3" applyNumberFormat="1" applyFont="1" applyFill="1" applyBorder="1" applyAlignment="1" applyProtection="1">
      <alignment horizontal="center"/>
    </xf>
    <xf numFmtId="0" fontId="30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66" fillId="0" borderId="39" xfId="0" applyFont="1" applyBorder="1" applyAlignment="1" applyProtection="1">
      <alignment horizontal="center"/>
      <protection locked="0"/>
    </xf>
    <xf numFmtId="0" fontId="66" fillId="0" borderId="3" xfId="0" applyFont="1" applyBorder="1" applyAlignment="1" applyProtection="1">
      <alignment horizontal="center"/>
      <protection locked="0"/>
    </xf>
    <xf numFmtId="0" fontId="66" fillId="0" borderId="6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7" fillId="0" borderId="0" xfId="0" applyFont="1" applyAlignment="1" applyProtection="1">
      <alignment horizontal="center"/>
      <protection locked="0"/>
    </xf>
    <xf numFmtId="0" fontId="66" fillId="0" borderId="9" xfId="0" applyFont="1" applyBorder="1" applyAlignment="1" applyProtection="1">
      <alignment horizontal="center"/>
      <protection locked="0"/>
    </xf>
    <xf numFmtId="0" fontId="67" fillId="0" borderId="65" xfId="0" applyFont="1" applyBorder="1" applyAlignment="1" applyProtection="1">
      <alignment horizontal="center"/>
      <protection locked="0"/>
    </xf>
    <xf numFmtId="0" fontId="5" fillId="3" borderId="16" xfId="0" applyFont="1" applyFill="1" applyBorder="1" applyProtection="1">
      <protection locked="0"/>
    </xf>
    <xf numFmtId="14" fontId="66" fillId="3" borderId="30" xfId="0" applyNumberFormat="1" applyFont="1" applyFill="1" applyBorder="1" applyAlignment="1" applyProtection="1">
      <alignment horizontal="center"/>
      <protection locked="0"/>
    </xf>
    <xf numFmtId="14" fontId="66" fillId="0" borderId="30" xfId="0" applyNumberFormat="1" applyFont="1" applyBorder="1" applyAlignment="1" applyProtection="1">
      <alignment horizontal="center"/>
      <protection locked="0"/>
    </xf>
    <xf numFmtId="14" fontId="66" fillId="0" borderId="10" xfId="0" applyNumberFormat="1" applyFont="1" applyBorder="1" applyAlignment="1" applyProtection="1">
      <alignment horizontal="center"/>
      <protection locked="0"/>
    </xf>
    <xf numFmtId="14" fontId="66" fillId="0" borderId="70" xfId="0" applyNumberFormat="1" applyFont="1" applyBorder="1" applyAlignment="1" applyProtection="1">
      <alignment horizontal="center"/>
      <protection locked="0"/>
    </xf>
    <xf numFmtId="0" fontId="5" fillId="0" borderId="7" xfId="0" applyFont="1" applyBorder="1" applyProtection="1">
      <protection locked="0"/>
    </xf>
    <xf numFmtId="0" fontId="66" fillId="0" borderId="0" xfId="0" applyFont="1" applyAlignment="1" applyProtection="1">
      <alignment horizontal="center"/>
      <protection locked="0"/>
    </xf>
    <xf numFmtId="0" fontId="66" fillId="0" borderId="65" xfId="0" applyFont="1" applyBorder="1" applyAlignment="1" applyProtection="1">
      <alignment horizontal="center"/>
      <protection locked="0"/>
    </xf>
    <xf numFmtId="0" fontId="18" fillId="0" borderId="7" xfId="0" applyFont="1" applyBorder="1" applyProtection="1">
      <protection locked="0"/>
    </xf>
    <xf numFmtId="167" fontId="18" fillId="0" borderId="65" xfId="3" applyNumberFormat="1" applyFont="1" applyBorder="1" applyAlignment="1" applyProtection="1">
      <alignment horizontal="center"/>
      <protection locked="0"/>
    </xf>
    <xf numFmtId="167" fontId="4" fillId="0" borderId="0" xfId="0" applyNumberFormat="1" applyFont="1" applyAlignment="1" applyProtection="1">
      <alignment horizontal="center"/>
      <protection locked="0"/>
    </xf>
    <xf numFmtId="168" fontId="66" fillId="0" borderId="0" xfId="0" applyNumberFormat="1" applyFont="1" applyAlignment="1" applyProtection="1">
      <alignment horizontal="center"/>
      <protection locked="0"/>
    </xf>
    <xf numFmtId="167" fontId="19" fillId="0" borderId="9" xfId="3" applyNumberFormat="1" applyFont="1" applyBorder="1" applyAlignment="1" applyProtection="1">
      <alignment horizontal="center"/>
      <protection locked="0"/>
    </xf>
    <xf numFmtId="168" fontId="4" fillId="0" borderId="0" xfId="0" applyNumberFormat="1" applyFont="1" applyAlignment="1" applyProtection="1">
      <alignment horizontal="center"/>
      <protection locked="0"/>
    </xf>
    <xf numFmtId="168" fontId="67" fillId="0" borderId="0" xfId="0" applyNumberFormat="1" applyFont="1" applyAlignment="1" applyProtection="1">
      <alignment horizontal="center"/>
      <protection locked="0"/>
    </xf>
    <xf numFmtId="0" fontId="5" fillId="0" borderId="9" xfId="0" applyFont="1" applyBorder="1" applyProtection="1">
      <protection locked="0"/>
    </xf>
    <xf numFmtId="0" fontId="4" fillId="0" borderId="65" xfId="0" applyFont="1" applyBorder="1" applyProtection="1">
      <protection locked="0"/>
    </xf>
    <xf numFmtId="0" fontId="4" fillId="0" borderId="34" xfId="0" applyFont="1" applyBorder="1" applyAlignment="1" applyProtection="1">
      <alignment horizontal="right"/>
      <protection locked="0"/>
    </xf>
    <xf numFmtId="183" fontId="67" fillId="0" borderId="35" xfId="0" applyNumberFormat="1" applyFont="1" applyBorder="1" applyAlignment="1" applyProtection="1">
      <alignment horizontal="center"/>
      <protection locked="0"/>
    </xf>
    <xf numFmtId="183" fontId="66" fillId="0" borderId="74" xfId="0" applyNumberFormat="1" applyFont="1" applyBorder="1" applyAlignment="1" applyProtection="1">
      <alignment horizontal="center"/>
      <protection locked="0"/>
    </xf>
    <xf numFmtId="183" fontId="67" fillId="0" borderId="6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right"/>
      <protection locked="0"/>
    </xf>
    <xf numFmtId="168" fontId="66" fillId="0" borderId="9" xfId="0" applyNumberFormat="1" applyFont="1" applyBorder="1" applyAlignment="1" applyProtection="1">
      <alignment horizontal="center"/>
      <protection locked="0"/>
    </xf>
    <xf numFmtId="168" fontId="67" fillId="0" borderId="65" xfId="0" applyNumberFormat="1" applyFont="1" applyBorder="1" applyAlignment="1" applyProtection="1">
      <alignment horizontal="center"/>
      <protection locked="0"/>
    </xf>
    <xf numFmtId="168" fontId="6" fillId="0" borderId="0" xfId="0" applyNumberFormat="1" applyFont="1" applyAlignment="1" applyProtection="1">
      <alignment horizontal="center"/>
      <protection locked="0"/>
    </xf>
    <xf numFmtId="0" fontId="67" fillId="0" borderId="0" xfId="0" applyFont="1" applyProtection="1">
      <protection locked="0"/>
    </xf>
    <xf numFmtId="0" fontId="66" fillId="0" borderId="9" xfId="0" applyFont="1" applyBorder="1" applyProtection="1">
      <protection locked="0"/>
    </xf>
    <xf numFmtId="0" fontId="67" fillId="0" borderId="65" xfId="0" applyFont="1" applyBorder="1" applyProtection="1">
      <protection locked="0"/>
    </xf>
    <xf numFmtId="183" fontId="67" fillId="0" borderId="0" xfId="0" applyNumberFormat="1" applyFont="1" applyAlignment="1" applyProtection="1">
      <alignment horizontal="center"/>
      <protection locked="0"/>
    </xf>
    <xf numFmtId="183" fontId="66" fillId="0" borderId="9" xfId="0" applyNumberFormat="1" applyFont="1" applyBorder="1" applyAlignment="1" applyProtection="1">
      <alignment horizontal="center"/>
      <protection locked="0"/>
    </xf>
    <xf numFmtId="0" fontId="30" fillId="0" borderId="10" xfId="0" applyFont="1" applyBorder="1" applyProtection="1">
      <protection locked="0"/>
    </xf>
    <xf numFmtId="167" fontId="30" fillId="0" borderId="11" xfId="3" applyNumberFormat="1" applyFont="1" applyBorder="1" applyProtection="1">
      <protection locked="0"/>
    </xf>
    <xf numFmtId="0" fontId="4" fillId="0" borderId="16" xfId="0" applyFont="1" applyBorder="1" applyAlignment="1" applyProtection="1">
      <alignment horizontal="left"/>
      <protection locked="0"/>
    </xf>
    <xf numFmtId="168" fontId="67" fillId="0" borderId="30" xfId="0" applyNumberFormat="1" applyFont="1" applyBorder="1" applyAlignment="1" applyProtection="1">
      <alignment horizontal="center"/>
      <protection locked="0"/>
    </xf>
    <xf numFmtId="168" fontId="66" fillId="0" borderId="10" xfId="0" applyNumberFormat="1" applyFont="1" applyBorder="1" applyAlignment="1" applyProtection="1">
      <alignment horizontal="center"/>
      <protection locked="0"/>
    </xf>
    <xf numFmtId="168" fontId="67" fillId="0" borderId="70" xfId="0" applyNumberFormat="1" applyFont="1" applyBorder="1" applyAlignment="1" applyProtection="1">
      <alignment horizontal="center"/>
      <protection locked="0"/>
    </xf>
    <xf numFmtId="9" fontId="67" fillId="0" borderId="0" xfId="3" applyFont="1" applyBorder="1" applyAlignment="1" applyProtection="1">
      <alignment horizontal="center"/>
      <protection locked="0"/>
    </xf>
    <xf numFmtId="0" fontId="5" fillId="3" borderId="26" xfId="0" applyFont="1" applyFill="1" applyBorder="1" applyProtection="1">
      <protection locked="0"/>
    </xf>
    <xf numFmtId="168" fontId="5" fillId="3" borderId="27" xfId="0" applyNumberFormat="1" applyFont="1" applyFill="1" applyBorder="1" applyAlignment="1" applyProtection="1">
      <alignment horizontal="center"/>
      <protection locked="0"/>
    </xf>
    <xf numFmtId="168" fontId="5" fillId="0" borderId="27" xfId="0" applyNumberFormat="1" applyFont="1" applyBorder="1" applyAlignment="1" applyProtection="1">
      <alignment horizontal="center"/>
      <protection locked="0"/>
    </xf>
    <xf numFmtId="168" fontId="5" fillId="0" borderId="72" xfId="0" applyNumberFormat="1" applyFont="1" applyBorder="1" applyAlignment="1" applyProtection="1">
      <alignment horizontal="center"/>
      <protection locked="0"/>
    </xf>
    <xf numFmtId="168" fontId="5" fillId="0" borderId="40" xfId="0" applyNumberFormat="1" applyFont="1" applyBorder="1" applyAlignment="1" applyProtection="1">
      <alignment horizontal="center"/>
      <protection locked="0"/>
    </xf>
    <xf numFmtId="14" fontId="67" fillId="0" borderId="0" xfId="0" applyNumberFormat="1" applyFont="1" applyAlignment="1" applyProtection="1">
      <alignment horizontal="center"/>
      <protection locked="0"/>
    </xf>
    <xf numFmtId="14" fontId="66" fillId="0" borderId="9" xfId="0" applyNumberFormat="1" applyFont="1" applyBorder="1" applyAlignment="1" applyProtection="1">
      <alignment horizontal="center"/>
      <protection locked="0"/>
    </xf>
    <xf numFmtId="14" fontId="67" fillId="0" borderId="65" xfId="0" applyNumberFormat="1" applyFont="1" applyBorder="1" applyAlignment="1" applyProtection="1">
      <alignment horizontal="center"/>
      <protection locked="0"/>
    </xf>
    <xf numFmtId="0" fontId="5" fillId="0" borderId="36" xfId="0" applyFont="1" applyBorder="1" applyProtection="1">
      <protection locked="0"/>
    </xf>
    <xf numFmtId="0" fontId="5" fillId="0" borderId="37" xfId="0" applyFont="1" applyBorder="1" applyAlignment="1" applyProtection="1">
      <alignment horizontal="center"/>
      <protection locked="0"/>
    </xf>
    <xf numFmtId="0" fontId="5" fillId="0" borderId="32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167" fontId="5" fillId="0" borderId="0" xfId="3" applyNumberFormat="1" applyFont="1" applyAlignment="1" applyProtection="1">
      <alignment horizontal="center"/>
      <protection locked="0"/>
    </xf>
    <xf numFmtId="167" fontId="5" fillId="0" borderId="0" xfId="0" applyNumberFormat="1" applyFont="1" applyAlignment="1" applyProtection="1">
      <alignment horizontal="center"/>
      <protection locked="0"/>
    </xf>
    <xf numFmtId="167" fontId="16" fillId="0" borderId="9" xfId="3" applyNumberFormat="1" applyFont="1" applyBorder="1" applyAlignment="1" applyProtection="1">
      <alignment horizontal="center"/>
    </xf>
    <xf numFmtId="168" fontId="67" fillId="0" borderId="30" xfId="0" applyNumberFormat="1" applyFont="1" applyBorder="1" applyAlignment="1">
      <alignment horizontal="center"/>
    </xf>
    <xf numFmtId="168" fontId="5" fillId="3" borderId="27" xfId="0" applyNumberFormat="1" applyFont="1" applyFill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9" fillId="8" borderId="55" xfId="0" applyFont="1" applyFill="1" applyBorder="1" applyAlignment="1" applyProtection="1">
      <alignment vertical="center"/>
      <protection locked="0"/>
    </xf>
    <xf numFmtId="0" fontId="58" fillId="16" borderId="28" xfId="0" quotePrefix="1" applyFont="1" applyFill="1" applyBorder="1" applyAlignment="1" applyProtection="1">
      <alignment horizontal="center" vertical="center"/>
      <protection locked="0"/>
    </xf>
    <xf numFmtId="0" fontId="58" fillId="16" borderId="28" xfId="0" applyFont="1" applyFill="1" applyBorder="1" applyAlignment="1" applyProtection="1">
      <alignment horizontal="center" vertical="center"/>
      <protection locked="0"/>
    </xf>
    <xf numFmtId="0" fontId="58" fillId="16" borderId="4" xfId="0" applyFont="1" applyFill="1" applyBorder="1" applyAlignment="1" applyProtection="1">
      <alignment horizontal="center" vertical="center"/>
      <protection locked="0"/>
    </xf>
    <xf numFmtId="0" fontId="39" fillId="10" borderId="84" xfId="0" applyFont="1" applyFill="1" applyBorder="1" applyAlignment="1" applyProtection="1">
      <alignment horizontal="center" vertical="center"/>
      <protection locked="0"/>
    </xf>
    <xf numFmtId="0" fontId="38" fillId="8" borderId="0" xfId="0" applyFont="1" applyFill="1" applyAlignment="1" applyProtection="1">
      <alignment horizontal="center" vertical="center"/>
      <protection locked="0"/>
    </xf>
    <xf numFmtId="0" fontId="20" fillId="8" borderId="20" xfId="0" applyFont="1" applyFill="1" applyBorder="1" applyAlignment="1" applyProtection="1">
      <alignment horizontal="center" vertical="center"/>
      <protection locked="0"/>
    </xf>
    <xf numFmtId="0" fontId="68" fillId="16" borderId="13" xfId="0" quotePrefix="1" applyFont="1" applyFill="1" applyBorder="1" applyAlignment="1" applyProtection="1">
      <alignment horizontal="center" vertical="center"/>
      <protection locked="0"/>
    </xf>
    <xf numFmtId="0" fontId="68" fillId="16" borderId="13" xfId="0" applyFont="1" applyFill="1" applyBorder="1" applyAlignment="1" applyProtection="1">
      <alignment horizontal="center" vertical="center"/>
      <protection locked="0"/>
    </xf>
    <xf numFmtId="0" fontId="68" fillId="16" borderId="14" xfId="0" applyFont="1" applyFill="1" applyBorder="1" applyAlignment="1" applyProtection="1">
      <alignment horizontal="center" vertical="center"/>
      <protection locked="0"/>
    </xf>
    <xf numFmtId="0" fontId="20" fillId="8" borderId="0" xfId="0" applyFont="1" applyFill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69" fillId="8" borderId="20" xfId="0" applyFont="1" applyFill="1" applyBorder="1" applyAlignment="1" applyProtection="1">
      <alignment vertical="center"/>
      <protection locked="0"/>
    </xf>
    <xf numFmtId="3" fontId="58" fillId="16" borderId="17" xfId="0" applyNumberFormat="1" applyFont="1" applyFill="1" applyBorder="1" applyAlignment="1" applyProtection="1">
      <alignment horizontal="center" vertical="center"/>
      <protection locked="0"/>
    </xf>
    <xf numFmtId="3" fontId="58" fillId="16" borderId="10" xfId="0" applyNumberFormat="1" applyFont="1" applyFill="1" applyBorder="1" applyAlignment="1" applyProtection="1">
      <alignment horizontal="center" vertical="center"/>
      <protection locked="0"/>
    </xf>
    <xf numFmtId="0" fontId="70" fillId="8" borderId="0" xfId="0" applyFont="1" applyFill="1" applyAlignment="1" applyProtection="1">
      <alignment horizontal="center" vertical="center"/>
      <protection locked="0"/>
    </xf>
    <xf numFmtId="0" fontId="68" fillId="16" borderId="17" xfId="0" applyFont="1" applyFill="1" applyBorder="1" applyAlignment="1" applyProtection="1">
      <alignment horizontal="center" vertical="center"/>
      <protection locked="0"/>
    </xf>
    <xf numFmtId="0" fontId="68" fillId="16" borderId="10" xfId="0" applyFont="1" applyFill="1" applyBorder="1" applyAlignment="1" applyProtection="1">
      <alignment horizontal="center" vertical="center"/>
      <protection locked="0"/>
    </xf>
    <xf numFmtId="0" fontId="38" fillId="10" borderId="59" xfId="0" applyFont="1" applyFill="1" applyBorder="1" applyAlignment="1" applyProtection="1">
      <alignment horizontal="center" vertical="center"/>
      <protection locked="0"/>
    </xf>
    <xf numFmtId="0" fontId="38" fillId="10" borderId="64" xfId="0" applyFont="1" applyFill="1" applyBorder="1" applyAlignment="1" applyProtection="1">
      <alignment horizontal="center" vertical="center"/>
      <protection locked="0"/>
    </xf>
    <xf numFmtId="0" fontId="20" fillId="8" borderId="50" xfId="0" applyFont="1" applyFill="1" applyBorder="1" applyAlignment="1" applyProtection="1">
      <alignment horizontal="center" vertical="center"/>
      <protection locked="0"/>
    </xf>
    <xf numFmtId="0" fontId="68" fillId="16" borderId="31" xfId="0" applyFont="1" applyFill="1" applyBorder="1" applyAlignment="1" applyProtection="1">
      <alignment horizontal="center" vertical="center"/>
      <protection locked="0"/>
    </xf>
    <xf numFmtId="0" fontId="68" fillId="16" borderId="32" xfId="0" applyFont="1" applyFill="1" applyBorder="1" applyAlignment="1" applyProtection="1">
      <alignment horizontal="center" vertical="center"/>
      <protection locked="0"/>
    </xf>
    <xf numFmtId="0" fontId="38" fillId="10" borderId="62" xfId="0" applyFont="1" applyFill="1" applyBorder="1" applyAlignment="1" applyProtection="1">
      <alignment horizontal="center" vertical="center"/>
      <protection locked="0"/>
    </xf>
    <xf numFmtId="0" fontId="39" fillId="9" borderId="42" xfId="0" applyFont="1" applyFill="1" applyBorder="1" applyAlignment="1" applyProtection="1">
      <alignment vertical="center"/>
      <protection locked="0"/>
    </xf>
    <xf numFmtId="0" fontId="39" fillId="9" borderId="45" xfId="0" applyFont="1" applyFill="1" applyBorder="1" applyAlignment="1" applyProtection="1">
      <alignment horizontal="center" vertical="center"/>
      <protection locked="0"/>
    </xf>
    <xf numFmtId="0" fontId="38" fillId="8" borderId="0" xfId="0" applyFont="1" applyFill="1" applyAlignment="1" applyProtection="1">
      <alignment vertical="center"/>
      <protection locked="0"/>
    </xf>
    <xf numFmtId="0" fontId="38" fillId="8" borderId="46" xfId="0" applyFont="1" applyFill="1" applyBorder="1" applyAlignment="1" applyProtection="1">
      <alignment vertical="center"/>
      <protection locked="0"/>
    </xf>
    <xf numFmtId="6" fontId="71" fillId="16" borderId="13" xfId="0" applyNumberFormat="1" applyFont="1" applyFill="1" applyBorder="1" applyAlignment="1" applyProtection="1">
      <alignment horizontal="center" vertical="center"/>
      <protection locked="0"/>
    </xf>
    <xf numFmtId="166" fontId="38" fillId="0" borderId="0" xfId="1" applyNumberFormat="1" applyFont="1" applyAlignment="1" applyProtection="1">
      <alignment vertical="center"/>
      <protection locked="0"/>
    </xf>
    <xf numFmtId="0" fontId="38" fillId="8" borderId="20" xfId="0" applyFont="1" applyFill="1" applyBorder="1" applyAlignment="1" applyProtection="1">
      <alignment vertical="center"/>
      <protection locked="0"/>
    </xf>
    <xf numFmtId="6" fontId="71" fillId="16" borderId="17" xfId="0" applyNumberFormat="1" applyFont="1" applyFill="1" applyBorder="1" applyAlignment="1" applyProtection="1">
      <alignment horizontal="center" vertical="center"/>
      <protection locked="0"/>
    </xf>
    <xf numFmtId="184" fontId="71" fillId="16" borderId="50" xfId="0" applyNumberFormat="1" applyFont="1" applyFill="1" applyBorder="1" applyAlignment="1" applyProtection="1">
      <alignment horizontal="left" vertical="center"/>
      <protection locked="0"/>
    </xf>
    <xf numFmtId="6" fontId="38" fillId="7" borderId="31" xfId="0" applyNumberFormat="1" applyFont="1" applyFill="1" applyBorder="1" applyAlignment="1" applyProtection="1">
      <alignment horizontal="center" vertical="center"/>
      <protection locked="0"/>
    </xf>
    <xf numFmtId="0" fontId="39" fillId="10" borderId="42" xfId="0" applyFont="1" applyFill="1" applyBorder="1" applyAlignment="1" applyProtection="1">
      <alignment vertical="center"/>
      <protection locked="0"/>
    </xf>
    <xf numFmtId="6" fontId="39" fillId="7" borderId="44" xfId="0" applyNumberFormat="1" applyFont="1" applyFill="1" applyBorder="1" applyAlignment="1" applyProtection="1">
      <alignment horizontal="center" vertical="center"/>
      <protection locked="0"/>
    </xf>
    <xf numFmtId="166" fontId="39" fillId="0" borderId="0" xfId="0" applyNumberFormat="1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6" fontId="58" fillId="16" borderId="44" xfId="0" applyNumberFormat="1" applyFont="1" applyFill="1" applyBorder="1" applyAlignment="1" applyProtection="1">
      <alignment horizontal="center" vertical="center"/>
      <protection locked="0"/>
    </xf>
    <xf numFmtId="6" fontId="58" fillId="16" borderId="72" xfId="0" applyNumberFormat="1" applyFont="1" applyFill="1" applyBorder="1" applyAlignment="1" applyProtection="1">
      <alignment horizontal="center" vertical="center"/>
      <protection locked="0"/>
    </xf>
    <xf numFmtId="0" fontId="39" fillId="10" borderId="48" xfId="0" applyFont="1" applyFill="1" applyBorder="1" applyAlignment="1" applyProtection="1">
      <alignment vertical="center"/>
      <protection locked="0"/>
    </xf>
    <xf numFmtId="185" fontId="39" fillId="8" borderId="0" xfId="0" applyNumberFormat="1" applyFont="1" applyFill="1" applyAlignment="1" applyProtection="1">
      <alignment horizontal="center" vertical="center"/>
      <protection locked="0"/>
    </xf>
    <xf numFmtId="0" fontId="38" fillId="8" borderId="55" xfId="0" applyFont="1" applyFill="1" applyBorder="1" applyAlignment="1" applyProtection="1">
      <alignment vertical="center"/>
      <protection locked="0"/>
    </xf>
    <xf numFmtId="6" fontId="71" fillId="16" borderId="28" xfId="0" applyNumberFormat="1" applyFont="1" applyFill="1" applyBorder="1" applyAlignment="1" applyProtection="1">
      <alignment horizontal="center" vertical="center"/>
      <protection locked="0"/>
    </xf>
    <xf numFmtId="0" fontId="20" fillId="10" borderId="11" xfId="0" applyFont="1" applyFill="1" applyBorder="1" applyAlignment="1" applyProtection="1">
      <alignment vertical="center"/>
      <protection locked="0"/>
    </xf>
    <xf numFmtId="0" fontId="39" fillId="8" borderId="50" xfId="0" applyFont="1" applyFill="1" applyBorder="1" applyAlignment="1" applyProtection="1">
      <alignment vertical="center"/>
      <protection locked="0"/>
    </xf>
    <xf numFmtId="6" fontId="39" fillId="0" borderId="0" xfId="0" applyNumberFormat="1" applyFont="1" applyAlignment="1" applyProtection="1">
      <alignment vertical="center"/>
      <protection locked="0"/>
    </xf>
    <xf numFmtId="0" fontId="39" fillId="10" borderId="81" xfId="0" applyFont="1" applyFill="1" applyBorder="1" applyAlignment="1" applyProtection="1">
      <alignment vertical="center"/>
      <protection locked="0"/>
    </xf>
    <xf numFmtId="0" fontId="59" fillId="8" borderId="55" xfId="0" applyFont="1" applyFill="1" applyBorder="1" applyAlignment="1" applyProtection="1">
      <alignment vertical="center"/>
      <protection locked="0"/>
    </xf>
    <xf numFmtId="6" fontId="71" fillId="16" borderId="28" xfId="0" quotePrefix="1" applyNumberFormat="1" applyFont="1" applyFill="1" applyBorder="1" applyAlignment="1" applyProtection="1">
      <alignment horizontal="center" vertical="center"/>
      <protection locked="0"/>
    </xf>
    <xf numFmtId="6" fontId="71" fillId="16" borderId="4" xfId="0" applyNumberFormat="1" applyFont="1" applyFill="1" applyBorder="1" applyAlignment="1" applyProtection="1">
      <alignment horizontal="center" vertical="center"/>
      <protection locked="0"/>
    </xf>
    <xf numFmtId="0" fontId="71" fillId="16" borderId="20" xfId="0" applyFont="1" applyFill="1" applyBorder="1" applyAlignment="1" applyProtection="1">
      <alignment vertical="center"/>
      <protection locked="0"/>
    </xf>
    <xf numFmtId="10" fontId="20" fillId="8" borderId="0" xfId="3" applyNumberFormat="1" applyFont="1" applyFill="1" applyBorder="1" applyAlignment="1" applyProtection="1">
      <alignment vertical="center"/>
      <protection locked="0"/>
    </xf>
    <xf numFmtId="0" fontId="20" fillId="8" borderId="0" xfId="0" applyFont="1" applyFill="1" applyAlignment="1" applyProtection="1">
      <alignment vertical="center"/>
      <protection locked="0"/>
    </xf>
    <xf numFmtId="0" fontId="59" fillId="8" borderId="20" xfId="0" applyFont="1" applyFill="1" applyBorder="1" applyAlignment="1" applyProtection="1">
      <alignment vertical="center"/>
      <protection locked="0"/>
    </xf>
    <xf numFmtId="0" fontId="39" fillId="8" borderId="71" xfId="0" applyFont="1" applyFill="1" applyBorder="1" applyAlignment="1" applyProtection="1">
      <alignment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166" fontId="15" fillId="0" borderId="0" xfId="1" applyNumberFormat="1" applyFont="1" applyAlignment="1" applyProtection="1">
      <alignment vertical="center"/>
      <protection locked="0"/>
    </xf>
    <xf numFmtId="168" fontId="71" fillId="16" borderId="28" xfId="0" applyNumberFormat="1" applyFont="1" applyFill="1" applyBorder="1" applyAlignment="1" applyProtection="1">
      <alignment horizontal="center" vertical="center"/>
      <protection locked="0"/>
    </xf>
    <xf numFmtId="182" fontId="59" fillId="0" borderId="74" xfId="0" applyNumberFormat="1" applyFont="1" applyBorder="1" applyAlignment="1" applyProtection="1">
      <alignment vertical="center"/>
      <protection locked="0"/>
    </xf>
    <xf numFmtId="3" fontId="57" fillId="10" borderId="18" xfId="0" applyNumberFormat="1" applyFont="1" applyFill="1" applyBorder="1" applyAlignment="1" applyProtection="1">
      <alignment horizontal="center" vertical="center"/>
      <protection locked="0"/>
    </xf>
    <xf numFmtId="182" fontId="59" fillId="0" borderId="49" xfId="0" applyNumberFormat="1" applyFont="1" applyBorder="1" applyAlignment="1" applyProtection="1">
      <alignment vertical="center"/>
      <protection locked="0"/>
    </xf>
    <xf numFmtId="186" fontId="71" fillId="16" borderId="20" xfId="0" applyNumberFormat="1" applyFont="1" applyFill="1" applyBorder="1" applyAlignment="1" applyProtection="1">
      <alignment horizontal="left" vertical="center"/>
      <protection locked="0"/>
    </xf>
    <xf numFmtId="6" fontId="59" fillId="10" borderId="18" xfId="0" applyNumberFormat="1" applyFont="1" applyFill="1" applyBorder="1" applyAlignment="1" applyProtection="1">
      <alignment horizontal="center" vertical="center"/>
      <protection locked="0"/>
    </xf>
    <xf numFmtId="6" fontId="59" fillId="10" borderId="74" xfId="0" applyNumberFormat="1" applyFont="1" applyFill="1" applyBorder="1" applyAlignment="1" applyProtection="1">
      <alignment horizontal="center" vertical="center"/>
      <protection locked="0"/>
    </xf>
    <xf numFmtId="182" fontId="59" fillId="0" borderId="9" xfId="0" applyNumberFormat="1" applyFont="1" applyBorder="1" applyAlignment="1" applyProtection="1">
      <alignment vertical="center"/>
      <protection locked="0"/>
    </xf>
    <xf numFmtId="182" fontId="58" fillId="16" borderId="8" xfId="0" applyNumberFormat="1" applyFont="1" applyFill="1" applyBorder="1" applyAlignment="1" applyProtection="1">
      <alignment horizontal="center" vertical="center"/>
      <protection locked="0"/>
    </xf>
    <xf numFmtId="182" fontId="57" fillId="0" borderId="76" xfId="0" applyNumberFormat="1" applyFont="1" applyBorder="1" applyAlignment="1" applyProtection="1">
      <alignment vertical="center"/>
      <protection locked="0"/>
    </xf>
    <xf numFmtId="187" fontId="71" fillId="16" borderId="20" xfId="0" applyNumberFormat="1" applyFont="1" applyFill="1" applyBorder="1" applyAlignment="1" applyProtection="1">
      <alignment horizontal="left" vertical="center"/>
      <protection locked="0"/>
    </xf>
    <xf numFmtId="6" fontId="59" fillId="10" borderId="17" xfId="0" applyNumberFormat="1" applyFont="1" applyFill="1" applyBorder="1" applyAlignment="1" applyProtection="1">
      <alignment horizontal="center" vertical="center"/>
      <protection locked="0"/>
    </xf>
    <xf numFmtId="6" fontId="59" fillId="10" borderId="10" xfId="0" applyNumberFormat="1" applyFont="1" applyFill="1" applyBorder="1" applyAlignment="1" applyProtection="1">
      <alignment horizontal="center" vertical="center"/>
      <protection locked="0"/>
    </xf>
    <xf numFmtId="182" fontId="59" fillId="10" borderId="76" xfId="0" applyNumberFormat="1" applyFont="1" applyFill="1" applyBorder="1" applyAlignment="1" applyProtection="1">
      <alignment vertical="center"/>
      <protection locked="0"/>
    </xf>
    <xf numFmtId="0" fontId="59" fillId="8" borderId="50" xfId="0" applyFont="1" applyFill="1" applyBorder="1" applyAlignment="1" applyProtection="1">
      <alignment vertical="center"/>
      <protection locked="0"/>
    </xf>
    <xf numFmtId="6" fontId="59" fillId="10" borderId="31" xfId="0" applyNumberFormat="1" applyFont="1" applyFill="1" applyBorder="1" applyAlignment="1" applyProtection="1">
      <alignment horizontal="center" vertical="center"/>
      <protection locked="0"/>
    </xf>
    <xf numFmtId="6" fontId="59" fillId="10" borderId="32" xfId="0" applyNumberFormat="1" applyFont="1" applyFill="1" applyBorder="1" applyAlignment="1" applyProtection="1">
      <alignment horizontal="center" vertical="center"/>
      <protection locked="0"/>
    </xf>
    <xf numFmtId="10" fontId="20" fillId="10" borderId="74" xfId="0" applyNumberFormat="1" applyFont="1" applyFill="1" applyBorder="1" applyAlignment="1" applyProtection="1">
      <alignment vertical="center"/>
      <protection locked="0"/>
    </xf>
    <xf numFmtId="0" fontId="38" fillId="8" borderId="0" xfId="0" applyFont="1" applyFill="1" applyAlignment="1" applyProtection="1">
      <alignment horizontal="right" vertical="center"/>
      <protection locked="0"/>
    </xf>
    <xf numFmtId="10" fontId="20" fillId="10" borderId="14" xfId="0" applyNumberFormat="1" applyFont="1" applyFill="1" applyBorder="1" applyAlignment="1" applyProtection="1">
      <alignment vertical="center"/>
      <protection locked="0"/>
    </xf>
    <xf numFmtId="10" fontId="58" fillId="16" borderId="8" xfId="0" applyNumberFormat="1" applyFont="1" applyFill="1" applyBorder="1" applyAlignment="1" applyProtection="1">
      <alignment horizontal="center" vertical="center"/>
      <protection locked="0"/>
    </xf>
    <xf numFmtId="168" fontId="15" fillId="0" borderId="0" xfId="0" applyNumberFormat="1" applyFont="1" applyAlignment="1" applyProtection="1">
      <alignment vertical="center"/>
      <protection locked="0"/>
    </xf>
    <xf numFmtId="0" fontId="59" fillId="0" borderId="55" xfId="0" applyFont="1" applyBorder="1" applyAlignment="1" applyProtection="1">
      <alignment vertical="center"/>
      <protection locked="0"/>
    </xf>
    <xf numFmtId="7" fontId="39" fillId="8" borderId="7" xfId="1" applyNumberFormat="1" applyFont="1" applyFill="1" applyBorder="1" applyAlignment="1" applyProtection="1">
      <alignment horizontal="right" vertical="center"/>
      <protection locked="0"/>
    </xf>
    <xf numFmtId="182" fontId="59" fillId="0" borderId="0" xfId="0" applyNumberFormat="1" applyFont="1" applyAlignment="1" applyProtection="1">
      <alignment vertical="center"/>
      <protection locked="0"/>
    </xf>
    <xf numFmtId="182" fontId="59" fillId="0" borderId="8" xfId="0" applyNumberFormat="1" applyFont="1" applyBorder="1" applyAlignment="1" applyProtection="1">
      <alignment vertical="center"/>
      <protection locked="0"/>
    </xf>
    <xf numFmtId="182" fontId="59" fillId="0" borderId="76" xfId="0" applyNumberFormat="1" applyFont="1" applyBorder="1" applyAlignment="1" applyProtection="1">
      <alignment vertical="center"/>
      <protection locked="0"/>
    </xf>
    <xf numFmtId="188" fontId="71" fillId="16" borderId="20" xfId="0" applyNumberFormat="1" applyFont="1" applyFill="1" applyBorder="1" applyAlignment="1" applyProtection="1">
      <alignment horizontal="left" vertical="center"/>
      <protection locked="0"/>
    </xf>
    <xf numFmtId="182" fontId="57" fillId="10" borderId="10" xfId="0" applyNumberFormat="1" applyFont="1" applyFill="1" applyBorder="1" applyAlignment="1" applyProtection="1">
      <alignment vertical="center"/>
      <protection locked="0"/>
    </xf>
    <xf numFmtId="9" fontId="59" fillId="0" borderId="21" xfId="3" applyFont="1" applyBorder="1" applyAlignment="1" applyProtection="1">
      <alignment vertical="center"/>
      <protection locked="0"/>
    </xf>
    <xf numFmtId="182" fontId="59" fillId="0" borderId="47" xfId="0" applyNumberFormat="1" applyFont="1" applyBorder="1" applyAlignment="1" applyProtection="1">
      <alignment vertical="center"/>
      <protection locked="0"/>
    </xf>
    <xf numFmtId="0" fontId="57" fillId="0" borderId="50" xfId="0" applyFont="1" applyBorder="1" applyAlignment="1" applyProtection="1">
      <alignment vertical="center"/>
      <protection locked="0"/>
    </xf>
    <xf numFmtId="0" fontId="38" fillId="0" borderId="8" xfId="0" applyFont="1" applyBorder="1" applyAlignment="1" applyProtection="1">
      <alignment vertical="center"/>
      <protection locked="0"/>
    </xf>
    <xf numFmtId="0" fontId="39" fillId="10" borderId="0" xfId="0" applyFont="1" applyFill="1" applyAlignment="1" applyProtection="1">
      <alignment vertical="center"/>
      <protection locked="0"/>
    </xf>
    <xf numFmtId="0" fontId="38" fillId="10" borderId="0" xfId="0" applyFont="1" applyFill="1" applyAlignment="1" applyProtection="1">
      <alignment vertical="center"/>
      <protection locked="0"/>
    </xf>
    <xf numFmtId="188" fontId="59" fillId="10" borderId="20" xfId="0" applyNumberFormat="1" applyFont="1" applyFill="1" applyBorder="1" applyAlignment="1" applyProtection="1">
      <alignment horizontal="left" vertical="center"/>
      <protection locked="0"/>
    </xf>
    <xf numFmtId="38" fontId="38" fillId="0" borderId="0" xfId="1" applyNumberFormat="1" applyFont="1" applyAlignment="1" applyProtection="1">
      <alignment vertical="center"/>
      <protection locked="0"/>
    </xf>
    <xf numFmtId="0" fontId="59" fillId="0" borderId="0" xfId="0" applyFont="1" applyAlignment="1" applyProtection="1">
      <alignment vertical="center"/>
      <protection locked="0"/>
    </xf>
    <xf numFmtId="6" fontId="59" fillId="0" borderId="0" xfId="3" applyNumberFormat="1" applyFont="1" applyBorder="1" applyAlignment="1" applyProtection="1">
      <alignment horizontal="center" vertical="center"/>
      <protection locked="0"/>
    </xf>
    <xf numFmtId="10" fontId="59" fillId="0" borderId="0" xfId="3" applyNumberFormat="1" applyFont="1" applyBorder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59" fillId="0" borderId="0" xfId="0" quotePrefix="1" applyFont="1" applyAlignment="1" applyProtection="1">
      <alignment vertical="center"/>
      <protection locked="0"/>
    </xf>
    <xf numFmtId="0" fontId="60" fillId="0" borderId="0" xfId="0" applyFont="1" applyAlignment="1" applyProtection="1">
      <alignment vertical="center"/>
      <protection locked="0"/>
    </xf>
    <xf numFmtId="167" fontId="60" fillId="0" borderId="0" xfId="3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43" fontId="59" fillId="0" borderId="0" xfId="1" applyFont="1" applyBorder="1" applyAlignment="1" applyProtection="1">
      <alignment horizontal="center" vertical="center"/>
      <protection locked="0"/>
    </xf>
    <xf numFmtId="0" fontId="73" fillId="0" borderId="0" xfId="0" applyFont="1" applyProtection="1">
      <protection locked="0"/>
    </xf>
    <xf numFmtId="0" fontId="38" fillId="0" borderId="0" xfId="0" applyFont="1" applyAlignment="1">
      <alignment vertical="center"/>
    </xf>
    <xf numFmtId="0" fontId="20" fillId="10" borderId="57" xfId="0" applyFont="1" applyFill="1" applyBorder="1" applyAlignment="1">
      <alignment horizontal="center" vertical="center"/>
    </xf>
    <xf numFmtId="3" fontId="69" fillId="10" borderId="58" xfId="0" applyNumberFormat="1" applyFont="1" applyFill="1" applyBorder="1" applyAlignment="1">
      <alignment horizontal="center" vertical="center"/>
    </xf>
    <xf numFmtId="6" fontId="38" fillId="10" borderId="46" xfId="0" applyNumberFormat="1" applyFont="1" applyFill="1" applyBorder="1" applyAlignment="1">
      <alignment horizontal="center" vertical="center"/>
    </xf>
    <xf numFmtId="9" fontId="38" fillId="10" borderId="15" xfId="0" applyNumberFormat="1" applyFont="1" applyFill="1" applyBorder="1" applyAlignment="1">
      <alignment horizontal="center" vertical="center"/>
    </xf>
    <xf numFmtId="6" fontId="38" fillId="10" borderId="20" xfId="0" applyNumberFormat="1" applyFont="1" applyFill="1" applyBorder="1" applyAlignment="1">
      <alignment horizontal="center" vertical="center"/>
    </xf>
    <xf numFmtId="9" fontId="38" fillId="10" borderId="19" xfId="0" applyNumberFormat="1" applyFont="1" applyFill="1" applyBorder="1" applyAlignment="1">
      <alignment horizontal="center" vertical="center"/>
    </xf>
    <xf numFmtId="6" fontId="38" fillId="10" borderId="48" xfId="0" applyNumberFormat="1" applyFont="1" applyFill="1" applyBorder="1" applyAlignment="1">
      <alignment horizontal="center" vertical="center"/>
    </xf>
    <xf numFmtId="9" fontId="38" fillId="10" borderId="86" xfId="0" applyNumberFormat="1" applyFont="1" applyFill="1" applyBorder="1" applyAlignment="1">
      <alignment horizontal="center" vertical="center"/>
    </xf>
    <xf numFmtId="6" fontId="39" fillId="10" borderId="42" xfId="0" applyNumberFormat="1" applyFont="1" applyFill="1" applyBorder="1" applyAlignment="1">
      <alignment horizontal="center" vertical="center"/>
    </xf>
    <xf numFmtId="185" fontId="39" fillId="10" borderId="45" xfId="1" applyNumberFormat="1" applyFont="1" applyFill="1" applyBorder="1" applyAlignment="1" applyProtection="1">
      <alignment horizontal="center" vertical="center"/>
    </xf>
    <xf numFmtId="6" fontId="39" fillId="10" borderId="71" xfId="0" applyNumberFormat="1" applyFont="1" applyFill="1" applyBorder="1" applyAlignment="1">
      <alignment horizontal="center" vertical="center"/>
    </xf>
    <xf numFmtId="185" fontId="39" fillId="10" borderId="24" xfId="1" applyNumberFormat="1" applyFont="1" applyFill="1" applyBorder="1" applyAlignment="1" applyProtection="1">
      <alignment horizontal="center" vertical="center"/>
    </xf>
    <xf numFmtId="0" fontId="39" fillId="9" borderId="44" xfId="0" applyFont="1" applyFill="1" applyBorder="1" applyAlignment="1">
      <alignment horizontal="center" vertical="center"/>
    </xf>
    <xf numFmtId="0" fontId="39" fillId="9" borderId="72" xfId="0" applyFont="1" applyFill="1" applyBorder="1" applyAlignment="1">
      <alignment horizontal="center" vertical="center"/>
    </xf>
    <xf numFmtId="0" fontId="39" fillId="9" borderId="42" xfId="0" applyFont="1" applyFill="1" applyBorder="1" applyAlignment="1">
      <alignment horizontal="center" vertical="center"/>
    </xf>
    <xf numFmtId="6" fontId="38" fillId="10" borderId="31" xfId="0" applyNumberFormat="1" applyFont="1" applyFill="1" applyBorder="1" applyAlignment="1">
      <alignment horizontal="center" vertical="center"/>
    </xf>
    <xf numFmtId="6" fontId="39" fillId="10" borderId="44" xfId="0" applyNumberFormat="1" applyFont="1" applyFill="1" applyBorder="1" applyAlignment="1">
      <alignment horizontal="center" vertical="center"/>
    </xf>
    <xf numFmtId="167" fontId="39" fillId="10" borderId="18" xfId="0" applyNumberFormat="1" applyFont="1" applyFill="1" applyBorder="1" applyAlignment="1">
      <alignment horizontal="center" vertical="center"/>
    </xf>
    <xf numFmtId="167" fontId="39" fillId="10" borderId="74" xfId="0" applyNumberFormat="1" applyFont="1" applyFill="1" applyBorder="1" applyAlignment="1">
      <alignment horizontal="center" vertical="center"/>
    </xf>
    <xf numFmtId="167" fontId="39" fillId="10" borderId="63" xfId="0" applyNumberFormat="1" applyFont="1" applyFill="1" applyBorder="1" applyAlignment="1">
      <alignment horizontal="center" vertical="center"/>
    </xf>
    <xf numFmtId="6" fontId="38" fillId="10" borderId="55" xfId="0" applyNumberFormat="1" applyFont="1" applyFill="1" applyBorder="1" applyAlignment="1">
      <alignment horizontal="center" vertical="center"/>
    </xf>
    <xf numFmtId="185" fontId="38" fillId="10" borderId="29" xfId="1" applyNumberFormat="1" applyFont="1" applyFill="1" applyBorder="1" applyAlignment="1" applyProtection="1">
      <alignment horizontal="center" vertical="center"/>
    </xf>
    <xf numFmtId="185" fontId="38" fillId="10" borderId="15" xfId="1" applyNumberFormat="1" applyFont="1" applyFill="1" applyBorder="1" applyAlignment="1" applyProtection="1">
      <alignment horizontal="center" vertical="center"/>
    </xf>
    <xf numFmtId="185" fontId="38" fillId="10" borderId="19" xfId="1" applyNumberFormat="1" applyFont="1" applyFill="1" applyBorder="1" applyAlignment="1" applyProtection="1">
      <alignment horizontal="center" vertical="center"/>
    </xf>
    <xf numFmtId="6" fontId="39" fillId="10" borderId="50" xfId="0" applyNumberFormat="1" applyFont="1" applyFill="1" applyBorder="1" applyAlignment="1">
      <alignment horizontal="center" vertical="center"/>
    </xf>
    <xf numFmtId="185" fontId="39" fillId="10" borderId="33" xfId="1" applyNumberFormat="1" applyFont="1" applyFill="1" applyBorder="1" applyAlignment="1" applyProtection="1">
      <alignment horizontal="center" vertical="center"/>
    </xf>
    <xf numFmtId="6" fontId="39" fillId="10" borderId="31" xfId="0" applyNumberFormat="1" applyFont="1" applyFill="1" applyBorder="1" applyAlignment="1">
      <alignment horizontal="center" vertical="center"/>
    </xf>
    <xf numFmtId="6" fontId="39" fillId="10" borderId="32" xfId="0" applyNumberFormat="1" applyFont="1" applyFill="1" applyBorder="1" applyAlignment="1">
      <alignment horizontal="center" vertical="center"/>
    </xf>
    <xf numFmtId="167" fontId="39" fillId="10" borderId="8" xfId="0" applyNumberFormat="1" applyFont="1" applyFill="1" applyBorder="1" applyAlignment="1">
      <alignment horizontal="center" vertical="center"/>
    </xf>
    <xf numFmtId="167" fontId="39" fillId="10" borderId="9" xfId="0" applyNumberFormat="1" applyFont="1" applyFill="1" applyBorder="1" applyAlignment="1">
      <alignment horizontal="center" vertical="center"/>
    </xf>
    <xf numFmtId="6" fontId="39" fillId="10" borderId="85" xfId="0" applyNumberFormat="1" applyFont="1" applyFill="1" applyBorder="1" applyAlignment="1">
      <alignment horizontal="center" vertical="center"/>
    </xf>
    <xf numFmtId="6" fontId="39" fillId="10" borderId="23" xfId="0" applyNumberFormat="1" applyFont="1" applyFill="1" applyBorder="1" applyAlignment="1">
      <alignment horizontal="center" vertical="center"/>
    </xf>
    <xf numFmtId="167" fontId="39" fillId="10" borderId="44" xfId="0" applyNumberFormat="1" applyFont="1" applyFill="1" applyBorder="1" applyAlignment="1">
      <alignment horizontal="center" vertical="center"/>
    </xf>
    <xf numFmtId="167" fontId="39" fillId="10" borderId="72" xfId="0" applyNumberFormat="1" applyFont="1" applyFill="1" applyBorder="1" applyAlignment="1">
      <alignment horizontal="center" vertical="center"/>
    </xf>
    <xf numFmtId="10" fontId="20" fillId="10" borderId="10" xfId="3" applyNumberFormat="1" applyFont="1" applyFill="1" applyBorder="1" applyAlignment="1" applyProtection="1">
      <alignment vertical="center"/>
    </xf>
    <xf numFmtId="9" fontId="60" fillId="10" borderId="10" xfId="3" applyFont="1" applyFill="1" applyBorder="1" applyAlignment="1" applyProtection="1">
      <alignment vertical="center"/>
    </xf>
    <xf numFmtId="168" fontId="20" fillId="10" borderId="49" xfId="0" applyNumberFormat="1" applyFont="1" applyFill="1" applyBorder="1" applyAlignment="1">
      <alignment horizontal="center" vertical="center"/>
    </xf>
    <xf numFmtId="168" fontId="20" fillId="10" borderId="47" xfId="0" applyNumberFormat="1" applyFont="1" applyFill="1" applyBorder="1" applyAlignment="1">
      <alignment horizontal="center" vertical="center"/>
    </xf>
    <xf numFmtId="6" fontId="38" fillId="10" borderId="50" xfId="0" applyNumberFormat="1" applyFont="1" applyFill="1" applyBorder="1" applyAlignment="1">
      <alignment horizontal="center" vertical="center"/>
    </xf>
    <xf numFmtId="185" fontId="38" fillId="10" borderId="33" xfId="1" applyNumberFormat="1" applyFont="1" applyFill="1" applyBorder="1" applyAlignment="1" applyProtection="1">
      <alignment horizontal="center" vertical="center"/>
    </xf>
    <xf numFmtId="6" fontId="59" fillId="10" borderId="18" xfId="0" applyNumberFormat="1" applyFont="1" applyFill="1" applyBorder="1" applyAlignment="1">
      <alignment horizontal="center" vertical="center"/>
    </xf>
    <xf numFmtId="6" fontId="59" fillId="10" borderId="17" xfId="0" applyNumberFormat="1" applyFont="1" applyFill="1" applyBorder="1" applyAlignment="1">
      <alignment horizontal="center" vertical="center"/>
    </xf>
    <xf numFmtId="6" fontId="59" fillId="10" borderId="31" xfId="0" applyNumberFormat="1" applyFont="1" applyFill="1" applyBorder="1" applyAlignment="1">
      <alignment horizontal="center" vertical="center"/>
    </xf>
    <xf numFmtId="8" fontId="59" fillId="10" borderId="28" xfId="0" applyNumberFormat="1" applyFont="1" applyFill="1" applyBorder="1" applyAlignment="1">
      <alignment horizontal="center" vertical="center"/>
    </xf>
    <xf numFmtId="8" fontId="59" fillId="10" borderId="4" xfId="0" applyNumberFormat="1" applyFont="1" applyFill="1" applyBorder="1" applyAlignment="1">
      <alignment horizontal="center" vertical="center"/>
    </xf>
    <xf numFmtId="8" fontId="59" fillId="10" borderId="84" xfId="0" applyNumberFormat="1" applyFont="1" applyFill="1" applyBorder="1" applyAlignment="1">
      <alignment horizontal="center" vertical="center"/>
    </xf>
    <xf numFmtId="8" fontId="59" fillId="10" borderId="17" xfId="0" applyNumberFormat="1" applyFont="1" applyFill="1" applyBorder="1" applyAlignment="1">
      <alignment horizontal="center" vertical="center"/>
    </xf>
    <xf numFmtId="8" fontId="59" fillId="10" borderId="10" xfId="0" applyNumberFormat="1" applyFont="1" applyFill="1" applyBorder="1" applyAlignment="1">
      <alignment horizontal="center" vertical="center"/>
    </xf>
    <xf numFmtId="8" fontId="59" fillId="10" borderId="58" xfId="0" applyNumberFormat="1" applyFont="1" applyFill="1" applyBorder="1" applyAlignment="1">
      <alignment horizontal="center" vertical="center"/>
    </xf>
    <xf numFmtId="167" fontId="57" fillId="10" borderId="31" xfId="3" applyNumberFormat="1" applyFont="1" applyFill="1" applyBorder="1" applyAlignment="1" applyProtection="1">
      <alignment horizontal="center" vertical="center"/>
    </xf>
    <xf numFmtId="167" fontId="57" fillId="10" borderId="32" xfId="3" applyNumberFormat="1" applyFont="1" applyFill="1" applyBorder="1" applyAlignment="1" applyProtection="1">
      <alignment horizontal="center" vertical="center"/>
    </xf>
    <xf numFmtId="167" fontId="57" fillId="10" borderId="60" xfId="3" applyNumberFormat="1" applyFont="1" applyFill="1" applyBorder="1" applyAlignment="1" applyProtection="1">
      <alignment horizontal="center" vertical="center"/>
    </xf>
    <xf numFmtId="6" fontId="59" fillId="0" borderId="0" xfId="3" applyNumberFormat="1" applyFont="1" applyBorder="1" applyAlignment="1" applyProtection="1">
      <alignment horizontal="center" vertical="center"/>
    </xf>
    <xf numFmtId="6" fontId="59" fillId="0" borderId="18" xfId="3" applyNumberFormat="1" applyFont="1" applyBorder="1" applyAlignment="1" applyProtection="1">
      <alignment horizontal="center" vertical="center"/>
    </xf>
    <xf numFmtId="6" fontId="59" fillId="0" borderId="21" xfId="3" applyNumberFormat="1" applyFont="1" applyBorder="1" applyAlignment="1" applyProtection="1">
      <alignment horizontal="center" vertical="center"/>
    </xf>
    <xf numFmtId="6" fontId="59" fillId="0" borderId="13" xfId="3" applyNumberFormat="1" applyFont="1" applyBorder="1" applyAlignment="1" applyProtection="1">
      <alignment horizontal="center" vertical="center"/>
    </xf>
    <xf numFmtId="6" fontId="59" fillId="0" borderId="8" xfId="3" applyNumberFormat="1" applyFont="1" applyBorder="1" applyAlignment="1" applyProtection="1">
      <alignment horizontal="center" vertical="center"/>
    </xf>
    <xf numFmtId="167" fontId="59" fillId="0" borderId="21" xfId="3" applyNumberFormat="1" applyFont="1" applyBorder="1" applyAlignment="1" applyProtection="1">
      <alignment horizontal="center" vertical="center"/>
    </xf>
    <xf numFmtId="167" fontId="59" fillId="0" borderId="13" xfId="3" applyNumberFormat="1" applyFont="1" applyBorder="1" applyAlignment="1" applyProtection="1">
      <alignment horizontal="center" vertical="center"/>
    </xf>
    <xf numFmtId="6" fontId="57" fillId="0" borderId="0" xfId="3" applyNumberFormat="1" applyFont="1" applyBorder="1" applyAlignment="1" applyProtection="1">
      <alignment horizontal="center" vertical="center"/>
    </xf>
    <xf numFmtId="6" fontId="57" fillId="0" borderId="8" xfId="3" applyNumberFormat="1" applyFont="1" applyBorder="1" applyAlignment="1" applyProtection="1">
      <alignment horizontal="center" vertical="center"/>
    </xf>
    <xf numFmtId="167" fontId="57" fillId="0" borderId="0" xfId="3" applyNumberFormat="1" applyFont="1" applyBorder="1" applyAlignment="1" applyProtection="1">
      <alignment horizontal="center" vertical="center"/>
    </xf>
    <xf numFmtId="167" fontId="57" fillId="0" borderId="8" xfId="3" applyNumberFormat="1" applyFont="1" applyBorder="1" applyAlignment="1" applyProtection="1">
      <alignment horizontal="center" vertical="center"/>
    </xf>
    <xf numFmtId="167" fontId="59" fillId="0" borderId="0" xfId="3" applyNumberFormat="1" applyFont="1" applyBorder="1" applyAlignment="1" applyProtection="1">
      <alignment horizontal="center" vertical="center"/>
    </xf>
    <xf numFmtId="167" fontId="59" fillId="0" borderId="8" xfId="3" applyNumberFormat="1" applyFont="1" applyBorder="1" applyAlignment="1" applyProtection="1">
      <alignment horizontal="center" vertical="center"/>
    </xf>
    <xf numFmtId="168" fontId="57" fillId="0" borderId="0" xfId="3" applyNumberFormat="1" applyFont="1" applyBorder="1" applyAlignment="1" applyProtection="1">
      <alignment horizontal="center" vertical="center"/>
    </xf>
    <xf numFmtId="168" fontId="57" fillId="0" borderId="8" xfId="3" applyNumberFormat="1" applyFont="1" applyBorder="1" applyAlignment="1" applyProtection="1">
      <alignment horizontal="center" vertical="center"/>
    </xf>
    <xf numFmtId="168" fontId="57" fillId="0" borderId="21" xfId="3" applyNumberFormat="1" applyFont="1" applyBorder="1" applyAlignment="1" applyProtection="1">
      <alignment horizontal="center" vertical="center"/>
    </xf>
    <xf numFmtId="168" fontId="57" fillId="0" borderId="13" xfId="3" applyNumberFormat="1" applyFont="1" applyBorder="1" applyAlignment="1" applyProtection="1">
      <alignment horizontal="center" vertical="center"/>
    </xf>
    <xf numFmtId="182" fontId="72" fillId="0" borderId="35" xfId="0" applyNumberFormat="1" applyFont="1" applyBorder="1" applyAlignment="1">
      <alignment vertical="center"/>
    </xf>
    <xf numFmtId="182" fontId="72" fillId="0" borderId="18" xfId="0" applyNumberFormat="1" applyFont="1" applyBorder="1" applyAlignment="1">
      <alignment vertical="center"/>
    </xf>
    <xf numFmtId="182" fontId="57" fillId="10" borderId="14" xfId="0" applyNumberFormat="1" applyFont="1" applyFill="1" applyBorder="1" applyAlignment="1">
      <alignment vertical="center"/>
    </xf>
    <xf numFmtId="182" fontId="57" fillId="10" borderId="21" xfId="0" applyNumberFormat="1" applyFont="1" applyFill="1" applyBorder="1" applyAlignment="1">
      <alignment vertical="center"/>
    </xf>
    <xf numFmtId="182" fontId="57" fillId="10" borderId="13" xfId="0" applyNumberFormat="1" applyFont="1" applyFill="1" applyBorder="1" applyAlignment="1">
      <alignment vertical="center"/>
    </xf>
    <xf numFmtId="10" fontId="59" fillId="10" borderId="0" xfId="3" applyNumberFormat="1" applyFont="1" applyFill="1" applyBorder="1" applyAlignment="1" applyProtection="1">
      <alignment vertical="center"/>
    </xf>
    <xf numFmtId="10" fontId="59" fillId="10" borderId="8" xfId="3" applyNumberFormat="1" applyFont="1" applyFill="1" applyBorder="1" applyAlignment="1" applyProtection="1">
      <alignment vertical="center"/>
    </xf>
    <xf numFmtId="166" fontId="59" fillId="10" borderId="0" xfId="1" applyNumberFormat="1" applyFont="1" applyFill="1" applyBorder="1" applyAlignment="1" applyProtection="1">
      <alignment vertical="center"/>
    </xf>
    <xf numFmtId="166" fontId="59" fillId="10" borderId="8" xfId="1" applyNumberFormat="1" applyFont="1" applyFill="1" applyBorder="1" applyAlignment="1" applyProtection="1">
      <alignment vertical="center"/>
    </xf>
    <xf numFmtId="166" fontId="59" fillId="0" borderId="0" xfId="1" applyNumberFormat="1" applyFont="1" applyBorder="1" applyAlignment="1" applyProtection="1">
      <alignment vertical="center"/>
    </xf>
    <xf numFmtId="166" fontId="59" fillId="0" borderId="8" xfId="1" applyNumberFormat="1" applyFont="1" applyBorder="1" applyAlignment="1" applyProtection="1">
      <alignment vertical="center"/>
    </xf>
    <xf numFmtId="3" fontId="57" fillId="10" borderId="11" xfId="0" applyNumberFormat="1" applyFont="1" applyFill="1" applyBorder="1" applyAlignment="1">
      <alignment vertical="center"/>
    </xf>
    <xf numFmtId="166" fontId="57" fillId="0" borderId="11" xfId="1" applyNumberFormat="1" applyFont="1" applyBorder="1" applyAlignment="1" applyProtection="1">
      <alignment horizontal="right" vertical="center"/>
    </xf>
    <xf numFmtId="2" fontId="57" fillId="10" borderId="17" xfId="3" applyNumberFormat="1" applyFont="1" applyFill="1" applyBorder="1" applyAlignment="1" applyProtection="1">
      <alignment horizontal="center" vertical="center"/>
    </xf>
    <xf numFmtId="166" fontId="38" fillId="0" borderId="8" xfId="0" applyNumberFormat="1" applyFont="1" applyBorder="1" applyAlignment="1">
      <alignment vertical="center"/>
    </xf>
    <xf numFmtId="166" fontId="39" fillId="10" borderId="17" xfId="0" applyNumberFormat="1" applyFont="1" applyFill="1" applyBorder="1" applyAlignment="1">
      <alignment vertical="center"/>
    </xf>
    <xf numFmtId="166" fontId="38" fillId="0" borderId="0" xfId="1" applyNumberFormat="1" applyFont="1" applyAlignment="1" applyProtection="1">
      <alignment vertical="center"/>
    </xf>
    <xf numFmtId="38" fontId="38" fillId="0" borderId="0" xfId="1" applyNumberFormat="1" applyFont="1" applyAlignment="1" applyProtection="1">
      <alignment vertical="center"/>
    </xf>
    <xf numFmtId="9" fontId="38" fillId="0" borderId="0" xfId="3" applyFont="1" applyAlignment="1" applyProtection="1">
      <alignment vertical="center"/>
    </xf>
    <xf numFmtId="166" fontId="38" fillId="0" borderId="0" xfId="0" applyNumberFormat="1" applyFont="1" applyAlignment="1">
      <alignment vertical="center"/>
    </xf>
    <xf numFmtId="3" fontId="59" fillId="10" borderId="8" xfId="0" applyNumberFormat="1" applyFont="1" applyFill="1" applyBorder="1" applyAlignment="1">
      <alignment horizontal="center" vertical="center"/>
    </xf>
    <xf numFmtId="4" fontId="57" fillId="10" borderId="17" xfId="0" applyNumberFormat="1" applyFont="1" applyFill="1" applyBorder="1" applyAlignment="1">
      <alignment horizontal="center" vertical="center"/>
    </xf>
    <xf numFmtId="37" fontId="59" fillId="10" borderId="8" xfId="1" applyNumberFormat="1" applyFont="1" applyFill="1" applyBorder="1" applyAlignment="1" applyProtection="1">
      <alignment horizontal="center" vertical="center"/>
    </xf>
    <xf numFmtId="0" fontId="0" fillId="8" borderId="0" xfId="0" applyFill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9" borderId="61" xfId="0" applyFont="1" applyFill="1" applyBorder="1" applyProtection="1">
      <protection locked="0"/>
    </xf>
    <xf numFmtId="0" fontId="3" fillId="8" borderId="0" xfId="0" applyFont="1" applyFill="1" applyAlignment="1" applyProtection="1">
      <alignment horizontal="right"/>
      <protection locked="0"/>
    </xf>
    <xf numFmtId="0" fontId="18" fillId="9" borderId="52" xfId="0" applyFont="1" applyFill="1" applyBorder="1" applyProtection="1">
      <protection locked="0"/>
    </xf>
    <xf numFmtId="0" fontId="41" fillId="9" borderId="54" xfId="0" applyFont="1" applyFill="1" applyBorder="1" applyAlignment="1" applyProtection="1">
      <alignment horizontal="center"/>
      <protection locked="0"/>
    </xf>
    <xf numFmtId="0" fontId="36" fillId="8" borderId="0" xfId="0" applyFont="1" applyFill="1" applyProtection="1">
      <protection locked="0"/>
    </xf>
    <xf numFmtId="0" fontId="14" fillId="8" borderId="7" xfId="0" applyFont="1" applyFill="1" applyBorder="1" applyProtection="1">
      <protection locked="0"/>
    </xf>
    <xf numFmtId="0" fontId="0" fillId="0" borderId="65" xfId="0" applyBorder="1" applyProtection="1">
      <protection locked="0"/>
    </xf>
    <xf numFmtId="0" fontId="16" fillId="11" borderId="25" xfId="0" applyFont="1" applyFill="1" applyBorder="1" applyProtection="1">
      <protection locked="0"/>
    </xf>
    <xf numFmtId="0" fontId="16" fillId="11" borderId="56" xfId="0" applyFont="1" applyFill="1" applyBorder="1" applyAlignment="1" applyProtection="1">
      <alignment horizontal="center"/>
      <protection locked="0"/>
    </xf>
    <xf numFmtId="0" fontId="16" fillId="11" borderId="5" xfId="0" applyFont="1" applyFill="1" applyBorder="1" applyAlignment="1" applyProtection="1">
      <alignment horizontal="center"/>
      <protection locked="0"/>
    </xf>
    <xf numFmtId="0" fontId="17" fillId="11" borderId="5" xfId="0" applyFont="1" applyFill="1" applyBorder="1" applyAlignment="1" applyProtection="1">
      <alignment horizontal="center"/>
      <protection locked="0"/>
    </xf>
    <xf numFmtId="0" fontId="16" fillId="11" borderId="6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78" fillId="0" borderId="0" xfId="0" applyFont="1" applyAlignment="1" applyProtection="1">
      <alignment horizontal="left"/>
      <protection locked="0"/>
    </xf>
    <xf numFmtId="0" fontId="16" fillId="0" borderId="34" xfId="0" applyFont="1" applyBorder="1" applyProtection="1">
      <protection locked="0"/>
    </xf>
    <xf numFmtId="3" fontId="17" fillId="8" borderId="64" xfId="1" applyNumberFormat="1" applyFont="1" applyFill="1" applyBorder="1" applyAlignment="1" applyProtection="1">
      <alignment horizontal="center"/>
      <protection locked="0"/>
    </xf>
    <xf numFmtId="3" fontId="49" fillId="8" borderId="0" xfId="1" applyNumberFormat="1" applyFont="1" applyFill="1" applyBorder="1" applyAlignment="1" applyProtection="1">
      <alignment horizontal="center"/>
      <protection locked="0"/>
    </xf>
    <xf numFmtId="3" fontId="17" fillId="0" borderId="34" xfId="1" applyNumberFormat="1" applyFont="1" applyFill="1" applyBorder="1" applyAlignment="1" applyProtection="1">
      <alignment horizontal="center"/>
      <protection locked="0"/>
    </xf>
    <xf numFmtId="3" fontId="17" fillId="0" borderId="35" xfId="1" applyNumberFormat="1" applyFont="1" applyFill="1" applyBorder="1" applyAlignment="1" applyProtection="1">
      <alignment horizontal="center"/>
      <protection locked="0"/>
    </xf>
    <xf numFmtId="3" fontId="17" fillId="0" borderId="0" xfId="1" applyNumberFormat="1" applyFont="1" applyFill="1" applyBorder="1" applyAlignment="1" applyProtection="1">
      <alignment horizontal="center"/>
      <protection locked="0"/>
    </xf>
    <xf numFmtId="3" fontId="17" fillId="0" borderId="67" xfId="1" applyNumberFormat="1" applyFont="1" applyFill="1" applyBorder="1" applyAlignment="1" applyProtection="1">
      <alignment horizontal="center"/>
      <protection locked="0"/>
    </xf>
    <xf numFmtId="3" fontId="78" fillId="0" borderId="0" xfId="0" applyNumberFormat="1" applyFont="1" applyAlignment="1" applyProtection="1">
      <alignment horizontal="left"/>
      <protection locked="0"/>
    </xf>
    <xf numFmtId="0" fontId="16" fillId="0" borderId="25" xfId="0" applyFont="1" applyBorder="1" applyProtection="1">
      <protection locked="0"/>
    </xf>
    <xf numFmtId="3" fontId="17" fillId="8" borderId="57" xfId="1" applyNumberFormat="1" applyFont="1" applyFill="1" applyBorder="1" applyAlignment="1" applyProtection="1">
      <alignment horizontal="center"/>
      <protection locked="0"/>
    </xf>
    <xf numFmtId="3" fontId="17" fillId="0" borderId="25" xfId="1" applyNumberFormat="1" applyFont="1" applyFill="1" applyBorder="1" applyAlignment="1" applyProtection="1">
      <alignment horizontal="center"/>
      <protection locked="0"/>
    </xf>
    <xf numFmtId="3" fontId="17" fillId="0" borderId="21" xfId="1" applyNumberFormat="1" applyFont="1" applyFill="1" applyBorder="1" applyAlignment="1" applyProtection="1">
      <alignment horizontal="center"/>
      <protection locked="0"/>
    </xf>
    <xf numFmtId="3" fontId="17" fillId="0" borderId="66" xfId="1" applyNumberFormat="1" applyFont="1" applyFill="1" applyBorder="1" applyAlignment="1" applyProtection="1">
      <alignment horizontal="center"/>
      <protection locked="0"/>
    </xf>
    <xf numFmtId="3" fontId="17" fillId="0" borderId="7" xfId="1" applyNumberFormat="1" applyFont="1" applyFill="1" applyBorder="1" applyAlignment="1" applyProtection="1">
      <alignment horizontal="center"/>
      <protection locked="0"/>
    </xf>
    <xf numFmtId="3" fontId="17" fillId="0" borderId="65" xfId="1" applyNumberFormat="1" applyFont="1" applyFill="1" applyBorder="1" applyAlignment="1" applyProtection="1">
      <alignment horizontal="center"/>
      <protection locked="0"/>
    </xf>
    <xf numFmtId="0" fontId="16" fillId="10" borderId="7" xfId="0" applyFont="1" applyFill="1" applyBorder="1" applyProtection="1">
      <protection locked="0"/>
    </xf>
    <xf numFmtId="189" fontId="17" fillId="10" borderId="64" xfId="1" applyNumberFormat="1" applyFont="1" applyFill="1" applyBorder="1" applyAlignment="1" applyProtection="1">
      <alignment horizontal="center"/>
      <protection locked="0"/>
    </xf>
    <xf numFmtId="189" fontId="17" fillId="10" borderId="7" xfId="0" applyNumberFormat="1" applyFont="1" applyFill="1" applyBorder="1" applyAlignment="1" applyProtection="1">
      <alignment horizontal="center"/>
      <protection locked="0"/>
    </xf>
    <xf numFmtId="189" fontId="17" fillId="10" borderId="0" xfId="0" applyNumberFormat="1" applyFont="1" applyFill="1" applyAlignment="1" applyProtection="1">
      <alignment horizontal="center"/>
      <protection locked="0"/>
    </xf>
    <xf numFmtId="189" fontId="17" fillId="10" borderId="65" xfId="0" applyNumberFormat="1" applyFont="1" applyFill="1" applyBorder="1" applyAlignment="1" applyProtection="1">
      <alignment horizontal="center"/>
      <protection locked="0"/>
    </xf>
    <xf numFmtId="189" fontId="15" fillId="8" borderId="64" xfId="1" applyNumberFormat="1" applyFont="1" applyFill="1" applyBorder="1" applyAlignment="1" applyProtection="1">
      <alignment horizontal="center"/>
      <protection locked="0"/>
    </xf>
    <xf numFmtId="189" fontId="43" fillId="8" borderId="0" xfId="0" applyNumberFormat="1" applyFont="1" applyFill="1" applyAlignment="1" applyProtection="1">
      <alignment horizontal="center"/>
      <protection locked="0"/>
    </xf>
    <xf numFmtId="189" fontId="15" fillId="0" borderId="7" xfId="0" applyNumberFormat="1" applyFont="1" applyBorder="1" applyAlignment="1" applyProtection="1">
      <alignment horizontal="center"/>
      <protection locked="0"/>
    </xf>
    <xf numFmtId="189" fontId="15" fillId="0" borderId="0" xfId="0" applyNumberFormat="1" applyFont="1" applyAlignment="1" applyProtection="1">
      <alignment horizontal="center"/>
      <protection locked="0"/>
    </xf>
    <xf numFmtId="189" fontId="15" fillId="0" borderId="65" xfId="0" applyNumberFormat="1" applyFont="1" applyBorder="1" applyAlignment="1" applyProtection="1">
      <alignment horizontal="center"/>
      <protection locked="0"/>
    </xf>
    <xf numFmtId="0" fontId="2" fillId="8" borderId="0" xfId="0" applyFont="1" applyFill="1" applyAlignment="1" applyProtection="1">
      <alignment horizontal="left"/>
      <protection locked="0"/>
    </xf>
    <xf numFmtId="0" fontId="14" fillId="11" borderId="16" xfId="0" applyFont="1" applyFill="1" applyBorder="1" applyProtection="1">
      <protection locked="0"/>
    </xf>
    <xf numFmtId="0" fontId="17" fillId="11" borderId="58" xfId="0" applyFont="1" applyFill="1" applyBorder="1" applyAlignment="1" applyProtection="1">
      <alignment horizontal="center"/>
      <protection locked="0"/>
    </xf>
    <xf numFmtId="0" fontId="17" fillId="11" borderId="16" xfId="0" applyFont="1" applyFill="1" applyBorder="1" applyAlignment="1" applyProtection="1">
      <alignment horizontal="center"/>
      <protection locked="0"/>
    </xf>
    <xf numFmtId="0" fontId="17" fillId="11" borderId="30" xfId="0" applyFont="1" applyFill="1" applyBorder="1" applyAlignment="1" applyProtection="1">
      <alignment horizontal="center"/>
      <protection locked="0"/>
    </xf>
    <xf numFmtId="0" fontId="17" fillId="11" borderId="70" xfId="0" applyFont="1" applyFill="1" applyBorder="1" applyAlignment="1" applyProtection="1">
      <alignment horizontal="center"/>
      <protection locked="0"/>
    </xf>
    <xf numFmtId="1" fontId="17" fillId="8" borderId="64" xfId="1" applyNumberFormat="1" applyFont="1" applyFill="1" applyBorder="1" applyAlignment="1" applyProtection="1">
      <alignment horizontal="center"/>
      <protection locked="0"/>
    </xf>
    <xf numFmtId="1" fontId="49" fillId="8" borderId="0" xfId="0" applyNumberFormat="1" applyFont="1" applyFill="1" applyAlignment="1" applyProtection="1">
      <alignment horizontal="center"/>
      <protection locked="0"/>
    </xf>
    <xf numFmtId="1" fontId="17" fillId="0" borderId="7" xfId="0" applyNumberFormat="1" applyFont="1" applyBorder="1" applyAlignment="1" applyProtection="1">
      <alignment horizontal="center"/>
      <protection locked="0"/>
    </xf>
    <xf numFmtId="1" fontId="17" fillId="0" borderId="0" xfId="0" applyNumberFormat="1" applyFont="1" applyAlignment="1" applyProtection="1">
      <alignment horizontal="center"/>
      <protection locked="0"/>
    </xf>
    <xf numFmtId="1" fontId="17" fillId="0" borderId="65" xfId="0" applyNumberFormat="1" applyFont="1" applyBorder="1" applyAlignment="1" applyProtection="1">
      <alignment horizontal="center"/>
      <protection locked="0"/>
    </xf>
    <xf numFmtId="2" fontId="17" fillId="10" borderId="64" xfId="0" applyNumberFormat="1" applyFont="1" applyFill="1" applyBorder="1" applyAlignment="1" applyProtection="1">
      <alignment horizontal="center"/>
      <protection locked="0"/>
    </xf>
    <xf numFmtId="2" fontId="17" fillId="10" borderId="7" xfId="0" applyNumberFormat="1" applyFont="1" applyFill="1" applyBorder="1" applyAlignment="1" applyProtection="1">
      <alignment horizontal="center"/>
      <protection locked="0"/>
    </xf>
    <xf numFmtId="2" fontId="17" fillId="10" borderId="0" xfId="0" applyNumberFormat="1" applyFont="1" applyFill="1" applyAlignment="1" applyProtection="1">
      <alignment horizontal="center"/>
      <protection locked="0"/>
    </xf>
    <xf numFmtId="2" fontId="17" fillId="10" borderId="65" xfId="0" applyNumberFormat="1" applyFont="1" applyFill="1" applyBorder="1" applyAlignment="1" applyProtection="1">
      <alignment horizontal="center"/>
      <protection locked="0"/>
    </xf>
    <xf numFmtId="2" fontId="15" fillId="8" borderId="64" xfId="0" applyNumberFormat="1" applyFont="1" applyFill="1" applyBorder="1" applyAlignment="1" applyProtection="1">
      <alignment horizontal="center"/>
      <protection locked="0"/>
    </xf>
    <xf numFmtId="2" fontId="43" fillId="8" borderId="0" xfId="0" applyNumberFormat="1" applyFont="1" applyFill="1" applyAlignment="1" applyProtection="1">
      <alignment horizontal="center"/>
      <protection locked="0"/>
    </xf>
    <xf numFmtId="2" fontId="15" fillId="0" borderId="7" xfId="0" applyNumberFormat="1" applyFont="1" applyBorder="1" applyAlignment="1" applyProtection="1">
      <alignment horizontal="center"/>
      <protection locked="0"/>
    </xf>
    <xf numFmtId="2" fontId="15" fillId="0" borderId="0" xfId="0" applyNumberFormat="1" applyFont="1" applyAlignment="1" applyProtection="1">
      <alignment horizontal="center"/>
      <protection locked="0"/>
    </xf>
    <xf numFmtId="2" fontId="15" fillId="0" borderId="65" xfId="0" applyNumberFormat="1" applyFont="1" applyBorder="1" applyAlignment="1" applyProtection="1">
      <alignment horizontal="center"/>
      <protection locked="0"/>
    </xf>
    <xf numFmtId="3" fontId="49" fillId="8" borderId="0" xfId="0" applyNumberFormat="1" applyFont="1" applyFill="1" applyAlignment="1" applyProtection="1">
      <alignment horizontal="center"/>
      <protection locked="0"/>
    </xf>
    <xf numFmtId="3" fontId="17" fillId="0" borderId="7" xfId="0" applyNumberFormat="1" applyFont="1" applyBorder="1" applyAlignment="1" applyProtection="1">
      <alignment horizontal="center"/>
      <protection locked="0"/>
    </xf>
    <xf numFmtId="3" fontId="17" fillId="0" borderId="0" xfId="0" applyNumberFormat="1" applyFont="1" applyAlignment="1" applyProtection="1">
      <alignment horizontal="center"/>
      <protection locked="0"/>
    </xf>
    <xf numFmtId="3" fontId="17" fillId="0" borderId="65" xfId="0" applyNumberFormat="1" applyFont="1" applyBorder="1" applyAlignment="1" applyProtection="1">
      <alignment horizontal="center"/>
      <protection locked="0"/>
    </xf>
    <xf numFmtId="189" fontId="17" fillId="10" borderId="64" xfId="0" applyNumberFormat="1" applyFont="1" applyFill="1" applyBorder="1" applyAlignment="1" applyProtection="1">
      <alignment horizontal="center"/>
      <protection locked="0"/>
    </xf>
    <xf numFmtId="189" fontId="15" fillId="8" borderId="64" xfId="0" applyNumberFormat="1" applyFont="1" applyFill="1" applyBorder="1" applyAlignment="1" applyProtection="1">
      <alignment horizontal="center"/>
      <protection locked="0"/>
    </xf>
    <xf numFmtId="0" fontId="43" fillId="8" borderId="0" xfId="0" applyFont="1" applyFill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65" xfId="0" applyFont="1" applyBorder="1" applyAlignment="1" applyProtection="1">
      <alignment horizontal="center"/>
      <protection locked="0"/>
    </xf>
    <xf numFmtId="189" fontId="15" fillId="8" borderId="62" xfId="0" applyNumberFormat="1" applyFont="1" applyFill="1" applyBorder="1" applyAlignment="1" applyProtection="1">
      <alignment horizontal="center"/>
      <protection locked="0"/>
    </xf>
    <xf numFmtId="0" fontId="15" fillId="0" borderId="52" xfId="0" applyFont="1" applyBorder="1" applyAlignment="1" applyProtection="1">
      <alignment horizontal="center"/>
      <protection locked="0"/>
    </xf>
    <xf numFmtId="189" fontId="15" fillId="0" borderId="53" xfId="0" applyNumberFormat="1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189" fontId="14" fillId="8" borderId="7" xfId="0" applyNumberFormat="1" applyFont="1" applyFill="1" applyBorder="1" applyAlignment="1" applyProtection="1">
      <alignment horizontal="center"/>
      <protection locked="0"/>
    </xf>
    <xf numFmtId="0" fontId="14" fillId="8" borderId="0" xfId="0" applyFont="1" applyFill="1" applyAlignment="1" applyProtection="1">
      <alignment horizontal="center"/>
      <protection locked="0"/>
    </xf>
    <xf numFmtId="0" fontId="15" fillId="4" borderId="64" xfId="0" applyFont="1" applyFill="1" applyBorder="1" applyAlignment="1" applyProtection="1">
      <alignment horizontal="center"/>
      <protection locked="0"/>
    </xf>
    <xf numFmtId="0" fontId="14" fillId="4" borderId="65" xfId="0" applyFont="1" applyFill="1" applyBorder="1" applyAlignment="1" applyProtection="1">
      <alignment horizontal="center"/>
      <protection locked="0"/>
    </xf>
    <xf numFmtId="189" fontId="14" fillId="4" borderId="65" xfId="0" applyNumberFormat="1" applyFont="1" applyFill="1" applyBorder="1" applyAlignment="1" applyProtection="1">
      <alignment horizontal="center"/>
      <protection locked="0"/>
    </xf>
    <xf numFmtId="189" fontId="14" fillId="0" borderId="52" xfId="0" applyNumberFormat="1" applyFont="1" applyBorder="1" applyAlignment="1" applyProtection="1">
      <alignment horizontal="center"/>
      <protection locked="0"/>
    </xf>
    <xf numFmtId="0" fontId="15" fillId="0" borderId="64" xfId="0" applyFont="1" applyBorder="1" applyAlignment="1" applyProtection="1">
      <alignment horizontal="center"/>
      <protection locked="0"/>
    </xf>
    <xf numFmtId="0" fontId="14" fillId="0" borderId="39" xfId="0" quotePrefix="1" applyFont="1" applyBorder="1" applyProtection="1">
      <protection locked="0"/>
    </xf>
    <xf numFmtId="0" fontId="79" fillId="0" borderId="39" xfId="0" applyFont="1" applyBorder="1" applyProtection="1">
      <protection locked="0"/>
    </xf>
    <xf numFmtId="0" fontId="0" fillId="0" borderId="39" xfId="0" applyBorder="1" applyProtection="1">
      <protection locked="0"/>
    </xf>
    <xf numFmtId="0" fontId="77" fillId="0" borderId="0" xfId="0" applyFont="1" applyProtection="1">
      <protection locked="0"/>
    </xf>
    <xf numFmtId="3" fontId="3" fillId="0" borderId="0" xfId="0" applyNumberFormat="1" applyFont="1"/>
    <xf numFmtId="0" fontId="80" fillId="0" borderId="0" xfId="0" applyFont="1" applyProtection="1">
      <protection locked="0"/>
    </xf>
    <xf numFmtId="0" fontId="81" fillId="9" borderId="56" xfId="0" applyFont="1" applyFill="1" applyBorder="1" applyAlignment="1" applyProtection="1">
      <alignment horizontal="center" wrapText="1"/>
      <protection locked="0"/>
    </xf>
    <xf numFmtId="0" fontId="82" fillId="9" borderId="4" xfId="0" applyFont="1" applyFill="1" applyBorder="1" applyAlignment="1" applyProtection="1">
      <alignment horizontal="center" wrapText="1"/>
      <protection locked="0"/>
    </xf>
    <xf numFmtId="0" fontId="81" fillId="9" borderId="4" xfId="0" applyFont="1" applyFill="1" applyBorder="1" applyAlignment="1" applyProtection="1">
      <alignment horizontal="center" wrapText="1"/>
      <protection locked="0"/>
    </xf>
    <xf numFmtId="0" fontId="81" fillId="9" borderId="5" xfId="0" applyFont="1" applyFill="1" applyBorder="1" applyAlignment="1" applyProtection="1">
      <alignment horizontal="center" wrapText="1"/>
      <protection locked="0"/>
    </xf>
    <xf numFmtId="0" fontId="81" fillId="0" borderId="0" xfId="0" applyFont="1" applyProtection="1">
      <protection locked="0"/>
    </xf>
    <xf numFmtId="0" fontId="81" fillId="0" borderId="7" xfId="0" applyFont="1" applyBorder="1" applyAlignment="1" applyProtection="1">
      <alignment horizontal="left" wrapText="1"/>
      <protection locked="0"/>
    </xf>
    <xf numFmtId="14" fontId="82" fillId="10" borderId="10" xfId="0" quotePrefix="1" applyNumberFormat="1" applyFont="1" applyFill="1" applyBorder="1" applyAlignment="1" applyProtection="1">
      <alignment horizontal="center" wrapText="1"/>
      <protection locked="0"/>
    </xf>
    <xf numFmtId="0" fontId="81" fillId="10" borderId="10" xfId="0" applyFont="1" applyFill="1" applyBorder="1" applyAlignment="1" applyProtection="1">
      <alignment horizontal="center" wrapText="1"/>
      <protection locked="0"/>
    </xf>
    <xf numFmtId="0" fontId="81" fillId="10" borderId="30" xfId="0" applyFont="1" applyFill="1" applyBorder="1" applyAlignment="1" applyProtection="1">
      <alignment horizontal="center" wrapText="1"/>
      <protection locked="0"/>
    </xf>
    <xf numFmtId="0" fontId="81" fillId="10" borderId="11" xfId="0" applyFont="1" applyFill="1" applyBorder="1" applyAlignment="1" applyProtection="1">
      <alignment horizontal="center" wrapText="1"/>
      <protection locked="0"/>
    </xf>
    <xf numFmtId="168" fontId="82" fillId="8" borderId="9" xfId="0" applyNumberFormat="1" applyFont="1" applyFill="1" applyBorder="1" applyAlignment="1" applyProtection="1">
      <alignment horizontal="center"/>
      <protection locked="0"/>
    </xf>
    <xf numFmtId="168" fontId="81" fillId="8" borderId="10" xfId="0" applyNumberFormat="1" applyFont="1" applyFill="1" applyBorder="1" applyAlignment="1" applyProtection="1">
      <alignment horizontal="center"/>
      <protection locked="0"/>
    </xf>
    <xf numFmtId="168" fontId="81" fillId="8" borderId="30" xfId="0" applyNumberFormat="1" applyFont="1" applyFill="1" applyBorder="1" applyAlignment="1" applyProtection="1">
      <alignment horizontal="center"/>
      <protection locked="0"/>
    </xf>
    <xf numFmtId="168" fontId="81" fillId="8" borderId="11" xfId="0" applyNumberFormat="1" applyFont="1" applyFill="1" applyBorder="1" applyAlignment="1" applyProtection="1">
      <alignment horizontal="center"/>
      <protection locked="0"/>
    </xf>
    <xf numFmtId="0" fontId="81" fillId="0" borderId="7" xfId="0" applyFont="1" applyBorder="1" applyProtection="1">
      <protection locked="0"/>
    </xf>
    <xf numFmtId="168" fontId="83" fillId="0" borderId="9" xfId="0" applyNumberFormat="1" applyFont="1" applyBorder="1" applyAlignment="1" applyProtection="1">
      <alignment horizontal="center"/>
      <protection locked="0"/>
    </xf>
    <xf numFmtId="168" fontId="80" fillId="8" borderId="9" xfId="0" applyNumberFormat="1" applyFont="1" applyFill="1" applyBorder="1" applyAlignment="1" applyProtection="1">
      <alignment horizontal="center"/>
      <protection locked="0"/>
    </xf>
    <xf numFmtId="168" fontId="80" fillId="8" borderId="0" xfId="0" applyNumberFormat="1" applyFont="1" applyFill="1" applyAlignment="1" applyProtection="1">
      <alignment horizontal="center"/>
      <protection locked="0"/>
    </xf>
    <xf numFmtId="168" fontId="80" fillId="8" borderId="76" xfId="0" applyNumberFormat="1" applyFont="1" applyFill="1" applyBorder="1" applyAlignment="1" applyProtection="1">
      <alignment horizontal="center"/>
      <protection locked="0"/>
    </xf>
    <xf numFmtId="0" fontId="81" fillId="0" borderId="52" xfId="0" applyFont="1" applyBorder="1" applyProtection="1">
      <protection locked="0"/>
    </xf>
    <xf numFmtId="168" fontId="83" fillId="0" borderId="23" xfId="0" applyNumberFormat="1" applyFont="1" applyBorder="1" applyAlignment="1" applyProtection="1">
      <alignment horizontal="center"/>
      <protection locked="0"/>
    </xf>
    <xf numFmtId="168" fontId="80" fillId="8" borderId="23" xfId="0" applyNumberFormat="1" applyFont="1" applyFill="1" applyBorder="1" applyAlignment="1" applyProtection="1">
      <alignment horizontal="center"/>
      <protection locked="0"/>
    </xf>
    <xf numFmtId="168" fontId="80" fillId="8" borderId="53" xfId="0" applyNumberFormat="1" applyFont="1" applyFill="1" applyBorder="1" applyAlignment="1" applyProtection="1">
      <alignment horizontal="center"/>
      <protection locked="0"/>
    </xf>
    <xf numFmtId="168" fontId="80" fillId="8" borderId="22" xfId="0" applyNumberFormat="1" applyFont="1" applyFill="1" applyBorder="1" applyAlignment="1" applyProtection="1">
      <alignment horizontal="center"/>
      <protection locked="0"/>
    </xf>
    <xf numFmtId="0" fontId="83" fillId="0" borderId="9" xfId="0" applyFont="1" applyBorder="1" applyProtection="1">
      <protection locked="0"/>
    </xf>
    <xf numFmtId="0" fontId="81" fillId="9" borderId="55" xfId="0" applyFont="1" applyFill="1" applyBorder="1" applyAlignment="1" applyProtection="1">
      <alignment horizontal="center" wrapText="1"/>
      <protection locked="0"/>
    </xf>
    <xf numFmtId="0" fontId="81" fillId="9" borderId="73" xfId="0" applyFont="1" applyFill="1" applyBorder="1" applyAlignment="1" applyProtection="1">
      <alignment horizontal="center" wrapText="1"/>
      <protection locked="0"/>
    </xf>
    <xf numFmtId="14" fontId="82" fillId="10" borderId="17" xfId="0" applyNumberFormat="1" applyFont="1" applyFill="1" applyBorder="1" applyAlignment="1" applyProtection="1">
      <alignment horizontal="center" wrapText="1"/>
      <protection locked="0"/>
    </xf>
    <xf numFmtId="14" fontId="81" fillId="10" borderId="10" xfId="0" applyNumberFormat="1" applyFont="1" applyFill="1" applyBorder="1" applyAlignment="1" applyProtection="1">
      <alignment horizontal="center" wrapText="1"/>
      <protection locked="0"/>
    </xf>
    <xf numFmtId="14" fontId="81" fillId="10" borderId="30" xfId="0" applyNumberFormat="1" applyFont="1" applyFill="1" applyBorder="1" applyAlignment="1" applyProtection="1">
      <alignment horizontal="center" wrapText="1"/>
      <protection locked="0"/>
    </xf>
    <xf numFmtId="14" fontId="81" fillId="10" borderId="11" xfId="0" applyNumberFormat="1" applyFont="1" applyFill="1" applyBorder="1" applyAlignment="1" applyProtection="1">
      <alignment horizontal="center" wrapText="1"/>
      <protection locked="0"/>
    </xf>
    <xf numFmtId="0" fontId="81" fillId="8" borderId="25" xfId="0" applyFont="1" applyFill="1" applyBorder="1" applyAlignment="1" applyProtection="1">
      <alignment horizontal="center"/>
      <protection locked="0"/>
    </xf>
    <xf numFmtId="168" fontId="83" fillId="8" borderId="8" xfId="0" applyNumberFormat="1" applyFont="1" applyFill="1" applyBorder="1" applyProtection="1">
      <protection locked="0"/>
    </xf>
    <xf numFmtId="168" fontId="80" fillId="8" borderId="9" xfId="0" applyNumberFormat="1" applyFont="1" applyFill="1" applyBorder="1" applyProtection="1">
      <protection locked="0"/>
    </xf>
    <xf numFmtId="168" fontId="80" fillId="8" borderId="0" xfId="0" applyNumberFormat="1" applyFont="1" applyFill="1" applyProtection="1">
      <protection locked="0"/>
    </xf>
    <xf numFmtId="168" fontId="80" fillId="8" borderId="76" xfId="0" applyNumberFormat="1" applyFont="1" applyFill="1" applyBorder="1" applyProtection="1">
      <protection locked="0"/>
    </xf>
    <xf numFmtId="168" fontId="80" fillId="8" borderId="12" xfId="0" applyNumberFormat="1" applyFont="1" applyFill="1" applyBorder="1" applyAlignment="1" applyProtection="1">
      <alignment horizontal="right"/>
      <protection locked="0"/>
    </xf>
    <xf numFmtId="0" fontId="83" fillId="8" borderId="7" xfId="0" applyFont="1" applyFill="1" applyBorder="1" applyAlignment="1" applyProtection="1">
      <alignment horizontal="right"/>
      <protection locked="0"/>
    </xf>
    <xf numFmtId="168" fontId="83" fillId="8" borderId="9" xfId="0" applyNumberFormat="1" applyFont="1" applyFill="1" applyBorder="1" applyProtection="1">
      <protection locked="0"/>
    </xf>
    <xf numFmtId="168" fontId="83" fillId="8" borderId="0" xfId="0" applyNumberFormat="1" applyFont="1" applyFill="1" applyProtection="1">
      <protection locked="0"/>
    </xf>
    <xf numFmtId="168" fontId="83" fillId="8" borderId="76" xfId="0" applyNumberFormat="1" applyFont="1" applyFill="1" applyBorder="1" applyProtection="1">
      <protection locked="0"/>
    </xf>
    <xf numFmtId="0" fontId="81" fillId="8" borderId="7" xfId="0" applyFont="1" applyFill="1" applyBorder="1" applyProtection="1">
      <protection locked="0"/>
    </xf>
    <xf numFmtId="168" fontId="82" fillId="8" borderId="8" xfId="0" applyNumberFormat="1" applyFont="1" applyFill="1" applyBorder="1" applyProtection="1">
      <protection locked="0"/>
    </xf>
    <xf numFmtId="168" fontId="81" fillId="8" borderId="9" xfId="0" applyNumberFormat="1" applyFont="1" applyFill="1" applyBorder="1" applyProtection="1">
      <protection locked="0"/>
    </xf>
    <xf numFmtId="168" fontId="81" fillId="8" borderId="0" xfId="0" applyNumberFormat="1" applyFont="1" applyFill="1" applyProtection="1">
      <protection locked="0"/>
    </xf>
    <xf numFmtId="168" fontId="81" fillId="8" borderId="76" xfId="0" applyNumberFormat="1" applyFont="1" applyFill="1" applyBorder="1" applyProtection="1">
      <protection locked="0"/>
    </xf>
    <xf numFmtId="168" fontId="82" fillId="8" borderId="13" xfId="0" applyNumberFormat="1" applyFont="1" applyFill="1" applyBorder="1" applyProtection="1">
      <protection locked="0"/>
    </xf>
    <xf numFmtId="168" fontId="82" fillId="10" borderId="8" xfId="0" applyNumberFormat="1" applyFont="1" applyFill="1" applyBorder="1" applyProtection="1">
      <protection locked="0"/>
    </xf>
    <xf numFmtId="168" fontId="83" fillId="8" borderId="13" xfId="0" applyNumberFormat="1" applyFont="1" applyFill="1" applyBorder="1" applyProtection="1">
      <protection locked="0"/>
    </xf>
    <xf numFmtId="168" fontId="83" fillId="8" borderId="14" xfId="0" applyNumberFormat="1" applyFont="1" applyFill="1" applyBorder="1" applyProtection="1">
      <protection locked="0"/>
    </xf>
    <xf numFmtId="168" fontId="83" fillId="8" borderId="21" xfId="0" applyNumberFormat="1" applyFont="1" applyFill="1" applyBorder="1" applyProtection="1">
      <protection locked="0"/>
    </xf>
    <xf numFmtId="168" fontId="83" fillId="8" borderId="47" xfId="0" applyNumberFormat="1" applyFont="1" applyFill="1" applyBorder="1" applyProtection="1">
      <protection locked="0"/>
    </xf>
    <xf numFmtId="168" fontId="83" fillId="8" borderId="15" xfId="0" applyNumberFormat="1" applyFont="1" applyFill="1" applyBorder="1" applyAlignment="1" applyProtection="1">
      <alignment horizontal="right"/>
      <protection locked="0"/>
    </xf>
    <xf numFmtId="168" fontId="81" fillId="8" borderId="12" xfId="0" applyNumberFormat="1" applyFont="1" applyFill="1" applyBorder="1" applyProtection="1">
      <protection locked="0"/>
    </xf>
    <xf numFmtId="168" fontId="80" fillId="8" borderId="14" xfId="0" applyNumberFormat="1" applyFont="1" applyFill="1" applyBorder="1" applyProtection="1">
      <protection locked="0"/>
    </xf>
    <xf numFmtId="168" fontId="80" fillId="8" borderId="21" xfId="0" applyNumberFormat="1" applyFont="1" applyFill="1" applyBorder="1" applyProtection="1">
      <protection locked="0"/>
    </xf>
    <xf numFmtId="168" fontId="80" fillId="8" borderId="47" xfId="0" applyNumberFormat="1" applyFont="1" applyFill="1" applyBorder="1" applyProtection="1">
      <protection locked="0"/>
    </xf>
    <xf numFmtId="168" fontId="82" fillId="10" borderId="87" xfId="0" applyNumberFormat="1" applyFont="1" applyFill="1" applyBorder="1" applyProtection="1">
      <protection locked="0"/>
    </xf>
    <xf numFmtId="168" fontId="82" fillId="10" borderId="92" xfId="0" applyNumberFormat="1" applyFont="1" applyFill="1" applyBorder="1" applyProtection="1">
      <protection locked="0"/>
    </xf>
    <xf numFmtId="0" fontId="82" fillId="15" borderId="52" xfId="0" applyFont="1" applyFill="1" applyBorder="1" applyAlignment="1" applyProtection="1">
      <alignment horizontal="right"/>
      <protection locked="0"/>
    </xf>
    <xf numFmtId="2" fontId="83" fillId="8" borderId="85" xfId="0" applyNumberFormat="1" applyFont="1" applyFill="1" applyBorder="1" applyAlignment="1" applyProtection="1">
      <alignment horizontal="right"/>
      <protection locked="0"/>
    </xf>
    <xf numFmtId="0" fontId="83" fillId="8" borderId="0" xfId="0" applyFont="1" applyFill="1" applyProtection="1">
      <protection locked="0"/>
    </xf>
    <xf numFmtId="0" fontId="80" fillId="8" borderId="0" xfId="0" applyFont="1" applyFill="1" applyProtection="1">
      <protection locked="0"/>
    </xf>
    <xf numFmtId="0" fontId="84" fillId="11" borderId="26" xfId="0" applyFont="1" applyFill="1" applyBorder="1" applyProtection="1">
      <protection locked="0"/>
    </xf>
    <xf numFmtId="0" fontId="82" fillId="8" borderId="72" xfId="0" applyFont="1" applyFill="1" applyBorder="1" applyAlignment="1" applyProtection="1">
      <alignment horizontal="right"/>
      <protection locked="0"/>
    </xf>
    <xf numFmtId="0" fontId="81" fillId="8" borderId="72" xfId="0" quotePrefix="1" applyFont="1" applyFill="1" applyBorder="1" applyAlignment="1" applyProtection="1">
      <alignment horizontal="right"/>
      <protection locked="0"/>
    </xf>
    <xf numFmtId="0" fontId="81" fillId="8" borderId="27" xfId="0" quotePrefix="1" applyFont="1" applyFill="1" applyBorder="1" applyAlignment="1" applyProtection="1">
      <alignment horizontal="right"/>
      <protection locked="0"/>
    </xf>
    <xf numFmtId="0" fontId="81" fillId="8" borderId="40" xfId="0" quotePrefix="1" applyFont="1" applyFill="1" applyBorder="1" applyAlignment="1" applyProtection="1">
      <alignment horizontal="right"/>
      <protection locked="0"/>
    </xf>
    <xf numFmtId="168" fontId="81" fillId="8" borderId="19" xfId="0" applyNumberFormat="1" applyFont="1" applyFill="1" applyBorder="1" applyAlignment="1">
      <alignment horizontal="right"/>
    </xf>
    <xf numFmtId="168" fontId="80" fillId="0" borderId="12" xfId="0" applyNumberFormat="1" applyFont="1" applyBorder="1"/>
    <xf numFmtId="168" fontId="80" fillId="0" borderId="24" xfId="0" applyNumberFormat="1" applyFont="1" applyBorder="1"/>
    <xf numFmtId="168" fontId="83" fillId="8" borderId="12" xfId="0" applyNumberFormat="1" applyFont="1" applyFill="1" applyBorder="1" applyAlignment="1">
      <alignment horizontal="right"/>
    </xf>
    <xf numFmtId="168" fontId="80" fillId="8" borderId="12" xfId="0" applyNumberFormat="1" applyFont="1" applyFill="1" applyBorder="1" applyAlignment="1">
      <alignment horizontal="right"/>
    </xf>
    <xf numFmtId="168" fontId="81" fillId="8" borderId="12" xfId="0" applyNumberFormat="1" applyFont="1" applyFill="1" applyBorder="1" applyAlignment="1">
      <alignment horizontal="right"/>
    </xf>
    <xf numFmtId="168" fontId="81" fillId="8" borderId="15" xfId="0" applyNumberFormat="1" applyFont="1" applyFill="1" applyBorder="1" applyAlignment="1">
      <alignment horizontal="right"/>
    </xf>
    <xf numFmtId="168" fontId="81" fillId="8" borderId="47" xfId="0" applyNumberFormat="1" applyFont="1" applyFill="1" applyBorder="1"/>
    <xf numFmtId="168" fontId="81" fillId="8" borderId="21" xfId="0" applyNumberFormat="1" applyFont="1" applyFill="1" applyBorder="1"/>
    <xf numFmtId="168" fontId="81" fillId="8" borderId="14" xfId="0" applyNumberFormat="1" applyFont="1" applyFill="1" applyBorder="1"/>
    <xf numFmtId="168" fontId="81" fillId="8" borderId="9" xfId="0" applyNumberFormat="1" applyFont="1" applyFill="1" applyBorder="1"/>
    <xf numFmtId="168" fontId="81" fillId="8" borderId="0" xfId="0" applyNumberFormat="1" applyFont="1" applyFill="1"/>
    <xf numFmtId="168" fontId="81" fillId="8" borderId="76" xfId="0" applyNumberFormat="1" applyFont="1" applyFill="1" applyBorder="1"/>
    <xf numFmtId="168" fontId="81" fillId="10" borderId="9" xfId="0" applyNumberFormat="1" applyFont="1" applyFill="1" applyBorder="1"/>
    <xf numFmtId="168" fontId="81" fillId="10" borderId="0" xfId="0" applyNumberFormat="1" applyFont="1" applyFill="1"/>
    <xf numFmtId="168" fontId="81" fillId="10" borderId="76" xfId="0" applyNumberFormat="1" applyFont="1" applyFill="1" applyBorder="1"/>
    <xf numFmtId="168" fontId="81" fillId="10" borderId="86" xfId="0" applyNumberFormat="1" applyFont="1" applyFill="1" applyBorder="1"/>
    <xf numFmtId="168" fontId="81" fillId="10" borderId="88" xfId="0" applyNumberFormat="1" applyFont="1" applyFill="1" applyBorder="1"/>
    <xf numFmtId="168" fontId="81" fillId="10" borderId="89" xfId="0" applyNumberFormat="1" applyFont="1" applyFill="1" applyBorder="1"/>
    <xf numFmtId="168" fontId="81" fillId="10" borderId="90" xfId="0" applyNumberFormat="1" applyFont="1" applyFill="1" applyBorder="1"/>
    <xf numFmtId="168" fontId="81" fillId="10" borderId="91" xfId="0" applyNumberFormat="1" applyFont="1" applyFill="1" applyBorder="1" applyAlignment="1">
      <alignment horizontal="right"/>
    </xf>
    <xf numFmtId="168" fontId="81" fillId="10" borderId="93" xfId="0" applyNumberFormat="1" applyFont="1" applyFill="1" applyBorder="1"/>
    <xf numFmtId="168" fontId="81" fillId="10" borderId="94" xfId="0" applyNumberFormat="1" applyFont="1" applyFill="1" applyBorder="1"/>
    <xf numFmtId="168" fontId="81" fillId="10" borderId="95" xfId="0" applyNumberFormat="1" applyFont="1" applyFill="1" applyBorder="1"/>
    <xf numFmtId="168" fontId="81" fillId="10" borderId="96" xfId="0" applyNumberFormat="1" applyFont="1" applyFill="1" applyBorder="1" applyAlignment="1">
      <alignment horizontal="right"/>
    </xf>
    <xf numFmtId="2" fontId="83" fillId="8" borderId="23" xfId="0" applyNumberFormat="1" applyFont="1" applyFill="1" applyBorder="1" applyAlignment="1">
      <alignment horizontal="right"/>
    </xf>
    <xf numFmtId="2" fontId="83" fillId="8" borderId="53" xfId="0" applyNumberFormat="1" applyFont="1" applyFill="1" applyBorder="1" applyAlignment="1">
      <alignment horizontal="right"/>
    </xf>
    <xf numFmtId="2" fontId="83" fillId="8" borderId="22" xfId="0" applyNumberFormat="1" applyFont="1" applyFill="1" applyBorder="1" applyAlignment="1">
      <alignment horizontal="right"/>
    </xf>
    <xf numFmtId="2" fontId="83" fillId="15" borderId="24" xfId="0" applyNumberFormat="1" applyFont="1" applyFill="1" applyBorder="1" applyAlignment="1">
      <alignment horizontal="right"/>
    </xf>
    <xf numFmtId="168" fontId="80" fillId="0" borderId="0" xfId="0" applyNumberFormat="1" applyFont="1"/>
    <xf numFmtId="167" fontId="80" fillId="0" borderId="0" xfId="3" applyNumberFormat="1" applyFont="1" applyProtection="1"/>
    <xf numFmtId="0" fontId="41" fillId="9" borderId="74" xfId="0" applyFont="1" applyFill="1" applyBorder="1" applyProtection="1">
      <protection locked="0"/>
    </xf>
    <xf numFmtId="0" fontId="14" fillId="9" borderId="35" xfId="0" applyFont="1" applyFill="1" applyBorder="1" applyProtection="1">
      <protection locked="0"/>
    </xf>
    <xf numFmtId="0" fontId="16" fillId="9" borderId="35" xfId="0" applyFont="1" applyFill="1" applyBorder="1" applyProtection="1">
      <protection locked="0"/>
    </xf>
    <xf numFmtId="0" fontId="16" fillId="9" borderId="49" xfId="0" applyFont="1" applyFill="1" applyBorder="1" applyProtection="1">
      <protection locked="0"/>
    </xf>
    <xf numFmtId="0" fontId="16" fillId="9" borderId="9" xfId="0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16" fillId="9" borderId="0" xfId="0" applyFont="1" applyFill="1" applyAlignment="1" applyProtection="1">
      <alignment horizontal="center"/>
      <protection locked="0"/>
    </xf>
    <xf numFmtId="0" fontId="16" fillId="9" borderId="76" xfId="0" applyFont="1" applyFill="1" applyBorder="1" applyAlignment="1" applyProtection="1">
      <alignment horizontal="center"/>
      <protection locked="0"/>
    </xf>
    <xf numFmtId="0" fontId="16" fillId="9" borderId="8" xfId="0" applyFont="1" applyFill="1" applyBorder="1" applyAlignment="1" applyProtection="1">
      <alignment horizontal="center"/>
      <protection locked="0"/>
    </xf>
    <xf numFmtId="0" fontId="16" fillId="9" borderId="14" xfId="0" applyFont="1" applyFill="1" applyBorder="1" applyAlignment="1" applyProtection="1">
      <alignment wrapText="1"/>
      <protection locked="0"/>
    </xf>
    <xf numFmtId="0" fontId="16" fillId="9" borderId="21" xfId="0" applyFont="1" applyFill="1" applyBorder="1" applyAlignment="1" applyProtection="1">
      <alignment wrapText="1"/>
      <protection locked="0"/>
    </xf>
    <xf numFmtId="0" fontId="16" fillId="9" borderId="21" xfId="0" applyFont="1" applyFill="1" applyBorder="1" applyAlignment="1" applyProtection="1">
      <alignment horizontal="center" wrapText="1"/>
      <protection locked="0"/>
    </xf>
    <xf numFmtId="0" fontId="16" fillId="9" borderId="47" xfId="0" applyFont="1" applyFill="1" applyBorder="1" applyAlignment="1" applyProtection="1">
      <alignment horizontal="center" wrapText="1"/>
      <protection locked="0"/>
    </xf>
    <xf numFmtId="0" fontId="16" fillId="9" borderId="14" xfId="0" applyFont="1" applyFill="1" applyBorder="1" applyAlignment="1" applyProtection="1">
      <alignment horizontal="center" wrapText="1"/>
      <protection locked="0"/>
    </xf>
    <xf numFmtId="0" fontId="16" fillId="9" borderId="13" xfId="0" applyFont="1" applyFill="1" applyBorder="1" applyAlignment="1" applyProtection="1">
      <alignment horizontal="center" wrapText="1"/>
      <protection locked="0"/>
    </xf>
    <xf numFmtId="0" fontId="16" fillId="0" borderId="0" xfId="0" applyFont="1" applyAlignment="1" applyProtection="1">
      <alignment wrapText="1"/>
      <protection locked="0"/>
    </xf>
    <xf numFmtId="0" fontId="15" fillId="8" borderId="9" xfId="0" applyFont="1" applyFill="1" applyBorder="1" applyProtection="1">
      <protection locked="0"/>
    </xf>
    <xf numFmtId="0" fontId="15" fillId="0" borderId="76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2" fontId="15" fillId="0" borderId="9" xfId="0" applyNumberFormat="1" applyFont="1" applyBorder="1" applyAlignment="1" applyProtection="1">
      <alignment horizontal="center"/>
      <protection locked="0"/>
    </xf>
    <xf numFmtId="2" fontId="15" fillId="0" borderId="76" xfId="0" applyNumberFormat="1" applyFont="1" applyBorder="1" applyAlignment="1" applyProtection="1">
      <alignment horizontal="center"/>
      <protection locked="0"/>
    </xf>
    <xf numFmtId="189" fontId="15" fillId="0" borderId="9" xfId="0" applyNumberFormat="1" applyFont="1" applyBorder="1" applyAlignment="1" applyProtection="1">
      <alignment horizontal="center"/>
      <protection locked="0"/>
    </xf>
    <xf numFmtId="189" fontId="15" fillId="0" borderId="76" xfId="0" applyNumberFormat="1" applyFont="1" applyBorder="1" applyAlignment="1" applyProtection="1">
      <alignment horizontal="center"/>
      <protection locked="0"/>
    </xf>
    <xf numFmtId="0" fontId="15" fillId="0" borderId="9" xfId="0" applyFont="1" applyBorder="1" applyProtection="1">
      <protection locked="0"/>
    </xf>
    <xf numFmtId="0" fontId="15" fillId="0" borderId="0" xfId="0" quotePrefix="1" applyFont="1" applyAlignment="1" applyProtection="1">
      <alignment horizontal="center"/>
      <protection locked="0"/>
    </xf>
    <xf numFmtId="0" fontId="14" fillId="0" borderId="9" xfId="0" applyFont="1" applyBorder="1" applyProtection="1">
      <protection locked="0"/>
    </xf>
    <xf numFmtId="0" fontId="14" fillId="0" borderId="76" xfId="0" applyFont="1" applyBorder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/>
      <protection locked="0"/>
    </xf>
    <xf numFmtId="2" fontId="14" fillId="0" borderId="9" xfId="0" applyNumberFormat="1" applyFont="1" applyBorder="1" applyAlignment="1" applyProtection="1">
      <alignment horizontal="center"/>
      <protection locked="0"/>
    </xf>
    <xf numFmtId="2" fontId="14" fillId="0" borderId="76" xfId="0" applyNumberFormat="1" applyFont="1" applyBorder="1" applyAlignment="1" applyProtection="1">
      <alignment horizontal="center"/>
      <protection locked="0"/>
    </xf>
    <xf numFmtId="189" fontId="14" fillId="0" borderId="9" xfId="0" applyNumberFormat="1" applyFont="1" applyBorder="1" applyAlignment="1" applyProtection="1">
      <alignment horizontal="center"/>
      <protection locked="0"/>
    </xf>
    <xf numFmtId="189" fontId="14" fillId="0" borderId="76" xfId="0" applyNumberFormat="1" applyFont="1" applyBorder="1" applyAlignment="1" applyProtection="1">
      <alignment horizontal="center"/>
      <protection locked="0"/>
    </xf>
    <xf numFmtId="0" fontId="14" fillId="0" borderId="14" xfId="0" applyFont="1" applyBorder="1" applyProtection="1"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right"/>
      <protection locked="0"/>
    </xf>
    <xf numFmtId="0" fontId="14" fillId="0" borderId="30" xfId="0" applyFont="1" applyBorder="1" applyProtection="1">
      <protection locked="0"/>
    </xf>
    <xf numFmtId="0" fontId="16" fillId="10" borderId="11" xfId="0" applyFont="1" applyFill="1" applyBorder="1" applyAlignment="1" applyProtection="1">
      <alignment horizontal="right"/>
      <protection locked="0"/>
    </xf>
    <xf numFmtId="0" fontId="41" fillId="0" borderId="9" xfId="0" applyFont="1" applyBorder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21" xfId="0" applyFont="1" applyBorder="1" applyProtection="1">
      <protection locked="0"/>
    </xf>
    <xf numFmtId="0" fontId="16" fillId="0" borderId="76" xfId="0" applyFont="1" applyBorder="1" applyProtection="1">
      <protection locked="0"/>
    </xf>
    <xf numFmtId="0" fontId="16" fillId="0" borderId="74" xfId="0" applyFont="1" applyBorder="1" applyAlignment="1" applyProtection="1">
      <alignment horizontal="left"/>
      <protection locked="0"/>
    </xf>
    <xf numFmtId="168" fontId="14" fillId="0" borderId="35" xfId="0" applyNumberFormat="1" applyFont="1" applyBorder="1" applyAlignment="1" applyProtection="1">
      <alignment horizontal="center"/>
      <protection locked="0"/>
    </xf>
    <xf numFmtId="3" fontId="14" fillId="0" borderId="35" xfId="0" applyNumberFormat="1" applyFont="1" applyBorder="1" applyAlignment="1" applyProtection="1">
      <alignment horizontal="center"/>
      <protection locked="0"/>
    </xf>
    <xf numFmtId="168" fontId="14" fillId="0" borderId="49" xfId="0" applyNumberFormat="1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left"/>
      <protection locked="0"/>
    </xf>
    <xf numFmtId="168" fontId="14" fillId="0" borderId="76" xfId="0" applyNumberFormat="1" applyFont="1" applyBorder="1" applyAlignment="1" applyProtection="1">
      <alignment horizontal="center"/>
      <protection locked="0"/>
    </xf>
    <xf numFmtId="168" fontId="14" fillId="0" borderId="47" xfId="0" applyNumberFormat="1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right"/>
      <protection locked="0"/>
    </xf>
    <xf numFmtId="0" fontId="16" fillId="9" borderId="10" xfId="0" applyFont="1" applyFill="1" applyBorder="1" applyProtection="1">
      <protection locked="0"/>
    </xf>
    <xf numFmtId="0" fontId="14" fillId="9" borderId="30" xfId="0" applyFont="1" applyFill="1" applyBorder="1" applyProtection="1">
      <protection locked="0"/>
    </xf>
    <xf numFmtId="0" fontId="14" fillId="9" borderId="11" xfId="0" applyFont="1" applyFill="1" applyBorder="1" applyProtection="1">
      <protection locked="0"/>
    </xf>
    <xf numFmtId="0" fontId="16" fillId="9" borderId="74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/>
      <protection locked="0"/>
    </xf>
    <xf numFmtId="0" fontId="16" fillId="9" borderId="49" xfId="0" applyFont="1" applyFill="1" applyBorder="1" applyAlignment="1" applyProtection="1">
      <alignment horizontal="center"/>
      <protection locked="0"/>
    </xf>
    <xf numFmtId="0" fontId="16" fillId="9" borderId="18" xfId="0" applyFont="1" applyFill="1" applyBorder="1" applyAlignment="1" applyProtection="1">
      <alignment horizontal="center"/>
      <protection locked="0"/>
    </xf>
    <xf numFmtId="0" fontId="14" fillId="10" borderId="10" xfId="0" applyFont="1" applyFill="1" applyBorder="1" applyProtection="1">
      <protection locked="0"/>
    </xf>
    <xf numFmtId="0" fontId="14" fillId="10" borderId="30" xfId="0" applyFont="1" applyFill="1" applyBorder="1" applyAlignment="1" applyProtection="1">
      <alignment horizontal="center"/>
      <protection locked="0"/>
    </xf>
    <xf numFmtId="168" fontId="14" fillId="10" borderId="11" xfId="0" applyNumberFormat="1" applyFont="1" applyFill="1" applyBorder="1" applyAlignment="1" applyProtection="1">
      <alignment horizontal="center"/>
      <protection locked="0"/>
    </xf>
    <xf numFmtId="0" fontId="14" fillId="10" borderId="10" xfId="0" applyFont="1" applyFill="1" applyBorder="1" applyAlignment="1" applyProtection="1">
      <alignment horizontal="center"/>
      <protection locked="0"/>
    </xf>
    <xf numFmtId="0" fontId="14" fillId="10" borderId="11" xfId="0" applyFont="1" applyFill="1" applyBorder="1" applyAlignment="1" applyProtection="1">
      <alignment horizontal="center"/>
      <protection locked="0"/>
    </xf>
    <xf numFmtId="0" fontId="14" fillId="10" borderId="30" xfId="0" applyFont="1" applyFill="1" applyBorder="1" applyAlignment="1">
      <alignment horizontal="center"/>
    </xf>
    <xf numFmtId="0" fontId="14" fillId="10" borderId="10" xfId="0" applyFont="1" applyFill="1" applyBorder="1" applyAlignment="1">
      <alignment horizontal="center"/>
    </xf>
    <xf numFmtId="0" fontId="14" fillId="10" borderId="11" xfId="0" applyFont="1" applyFill="1" applyBorder="1" applyAlignment="1">
      <alignment horizontal="center"/>
    </xf>
    <xf numFmtId="189" fontId="14" fillId="10" borderId="10" xfId="0" applyNumberFormat="1" applyFont="1" applyFill="1" applyBorder="1" applyAlignment="1">
      <alignment horizontal="center"/>
    </xf>
    <xf numFmtId="189" fontId="14" fillId="10" borderId="11" xfId="0" applyNumberFormat="1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76" xfId="0" applyFont="1" applyBorder="1" applyAlignment="1">
      <alignment horizontal="center"/>
    </xf>
    <xf numFmtId="189" fontId="14" fillId="0" borderId="9" xfId="0" applyNumberFormat="1" applyFont="1" applyBorder="1" applyAlignment="1">
      <alignment horizontal="center"/>
    </xf>
    <xf numFmtId="189" fontId="14" fillId="0" borderId="76" xfId="0" applyNumberFormat="1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189" fontId="14" fillId="0" borderId="14" xfId="0" applyNumberFormat="1" applyFont="1" applyBorder="1" applyAlignment="1">
      <alignment horizontal="center"/>
    </xf>
    <xf numFmtId="189" fontId="14" fillId="0" borderId="47" xfId="0" applyNumberFormat="1" applyFont="1" applyBorder="1" applyAlignment="1">
      <alignment horizontal="center"/>
    </xf>
    <xf numFmtId="0" fontId="16" fillId="10" borderId="10" xfId="0" applyFont="1" applyFill="1" applyBorder="1" applyAlignment="1">
      <alignment horizontal="center"/>
    </xf>
    <xf numFmtId="0" fontId="16" fillId="10" borderId="11" xfId="0" applyFont="1" applyFill="1" applyBorder="1" applyAlignment="1">
      <alignment horizontal="center"/>
    </xf>
    <xf numFmtId="0" fontId="16" fillId="10" borderId="17" xfId="0" applyFont="1" applyFill="1" applyBorder="1" applyAlignment="1">
      <alignment horizontal="center"/>
    </xf>
    <xf numFmtId="0" fontId="16" fillId="10" borderId="30" xfId="0" applyFont="1" applyFill="1" applyBorder="1" applyAlignment="1">
      <alignment horizontal="center"/>
    </xf>
    <xf numFmtId="2" fontId="16" fillId="10" borderId="10" xfId="0" applyNumberFormat="1" applyFont="1" applyFill="1" applyBorder="1" applyAlignment="1">
      <alignment horizontal="center"/>
    </xf>
    <xf numFmtId="2" fontId="16" fillId="10" borderId="11" xfId="0" applyNumberFormat="1" applyFont="1" applyFill="1" applyBorder="1" applyAlignment="1">
      <alignment horizontal="center"/>
    </xf>
    <xf numFmtId="189" fontId="16" fillId="10" borderId="10" xfId="0" applyNumberFormat="1" applyFont="1" applyFill="1" applyBorder="1" applyAlignment="1">
      <alignment horizontal="center"/>
    </xf>
    <xf numFmtId="189" fontId="16" fillId="10" borderId="11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2" fontId="15" fillId="0" borderId="9" xfId="0" applyNumberFormat="1" applyFont="1" applyBorder="1" applyAlignment="1">
      <alignment horizontal="center"/>
    </xf>
    <xf numFmtId="2" fontId="15" fillId="0" borderId="76" xfId="0" applyNumberFormat="1" applyFont="1" applyBorder="1" applyAlignment="1">
      <alignment horizontal="center"/>
    </xf>
    <xf numFmtId="2" fontId="14" fillId="0" borderId="74" xfId="0" applyNumberFormat="1" applyFont="1" applyBorder="1" applyAlignment="1">
      <alignment horizontal="center"/>
    </xf>
    <xf numFmtId="2" fontId="14" fillId="0" borderId="49" xfId="0" applyNumberFormat="1" applyFont="1" applyBorder="1" applyAlignment="1">
      <alignment horizontal="center"/>
    </xf>
    <xf numFmtId="2" fontId="14" fillId="0" borderId="9" xfId="0" applyNumberFormat="1" applyFont="1" applyBorder="1" applyAlignment="1">
      <alignment horizontal="center"/>
    </xf>
    <xf numFmtId="2" fontId="14" fillId="0" borderId="76" xfId="0" applyNumberFormat="1" applyFont="1" applyBorder="1" applyAlignment="1">
      <alignment horizontal="center"/>
    </xf>
    <xf numFmtId="189" fontId="14" fillId="0" borderId="74" xfId="0" applyNumberFormat="1" applyFont="1" applyBorder="1" applyAlignment="1">
      <alignment horizontal="center"/>
    </xf>
    <xf numFmtId="189" fontId="14" fillId="0" borderId="49" xfId="0" applyNumberFormat="1" applyFont="1" applyBorder="1" applyAlignment="1">
      <alignment horizontal="center"/>
    </xf>
    <xf numFmtId="189" fontId="15" fillId="0" borderId="9" xfId="0" applyNumberFormat="1" applyFont="1" applyBorder="1" applyAlignment="1">
      <alignment horizontal="center"/>
    </xf>
    <xf numFmtId="189" fontId="15" fillId="0" borderId="76" xfId="0" applyNumberFormat="1" applyFont="1" applyBorder="1" applyAlignment="1">
      <alignment horizontal="center"/>
    </xf>
    <xf numFmtId="0" fontId="59" fillId="0" borderId="0" xfId="0" applyFont="1" applyProtection="1">
      <protection locked="0"/>
    </xf>
    <xf numFmtId="0" fontId="60" fillId="0" borderId="0" xfId="0" applyFont="1" applyAlignment="1" applyProtection="1">
      <alignment horizontal="center"/>
      <protection locked="0"/>
    </xf>
    <xf numFmtId="0" fontId="57" fillId="0" borderId="0" xfId="0" applyFont="1" applyProtection="1">
      <protection locked="0"/>
    </xf>
    <xf numFmtId="0" fontId="86" fillId="0" borderId="0" xfId="0" applyFont="1" applyAlignment="1" applyProtection="1">
      <alignment vertical="center"/>
      <protection locked="0"/>
    </xf>
    <xf numFmtId="0" fontId="87" fillId="0" borderId="0" xfId="0" applyFont="1" applyAlignment="1" applyProtection="1">
      <alignment horizontal="center" vertical="center"/>
      <protection locked="0"/>
    </xf>
    <xf numFmtId="0" fontId="60" fillId="0" borderId="0" xfId="0" applyFont="1" applyProtection="1">
      <protection locked="0"/>
    </xf>
    <xf numFmtId="190" fontId="59" fillId="0" borderId="0" xfId="0" applyNumberFormat="1" applyFont="1" applyAlignment="1" applyProtection="1">
      <alignment horizontal="left"/>
      <protection locked="0"/>
    </xf>
    <xf numFmtId="43" fontId="59" fillId="0" borderId="0" xfId="0" applyNumberFormat="1" applyFont="1" applyProtection="1">
      <protection locked="0"/>
    </xf>
    <xf numFmtId="190" fontId="72" fillId="0" borderId="0" xfId="0" applyNumberFormat="1" applyFont="1" applyAlignment="1" applyProtection="1">
      <alignment horizontal="left"/>
      <protection locked="0"/>
    </xf>
    <xf numFmtId="0" fontId="88" fillId="0" borderId="0" xfId="0" applyFont="1" applyAlignment="1" applyProtection="1">
      <alignment vertical="center"/>
      <protection locked="0"/>
    </xf>
    <xf numFmtId="0" fontId="89" fillId="0" borderId="0" xfId="0" applyFont="1" applyAlignment="1" applyProtection="1">
      <alignment horizontal="center" vertical="center"/>
      <protection locked="0"/>
    </xf>
    <xf numFmtId="0" fontId="59" fillId="9" borderId="1" xfId="0" applyFont="1" applyFill="1" applyBorder="1" applyProtection="1">
      <protection locked="0"/>
    </xf>
    <xf numFmtId="0" fontId="58" fillId="9" borderId="39" xfId="0" applyFont="1" applyFill="1" applyBorder="1" applyAlignment="1" applyProtection="1">
      <alignment horizontal="right" vertical="top"/>
      <protection locked="0"/>
    </xf>
    <xf numFmtId="0" fontId="58" fillId="9" borderId="39" xfId="0" applyFont="1" applyFill="1" applyBorder="1" applyAlignment="1" applyProtection="1">
      <alignment horizontal="left" vertical="top"/>
      <protection locked="0"/>
    </xf>
    <xf numFmtId="0" fontId="90" fillId="9" borderId="39" xfId="0" applyFont="1" applyFill="1" applyBorder="1" applyAlignment="1" applyProtection="1">
      <alignment horizontal="center"/>
      <protection locked="0"/>
    </xf>
    <xf numFmtId="0" fontId="57" fillId="9" borderId="3" xfId="0" applyFont="1" applyFill="1" applyBorder="1" applyAlignment="1" applyProtection="1">
      <alignment horizontal="center"/>
      <protection locked="0"/>
    </xf>
    <xf numFmtId="0" fontId="57" fillId="9" borderId="41" xfId="0" applyFont="1" applyFill="1" applyBorder="1" applyAlignment="1" applyProtection="1">
      <alignment horizontal="center"/>
      <protection locked="0"/>
    </xf>
    <xf numFmtId="0" fontId="57" fillId="9" borderId="52" xfId="0" applyFont="1" applyFill="1" applyBorder="1" applyProtection="1">
      <protection locked="0"/>
    </xf>
    <xf numFmtId="0" fontId="57" fillId="9" borderId="53" xfId="0" applyFont="1" applyFill="1" applyBorder="1" applyAlignment="1" applyProtection="1">
      <alignment horizontal="center"/>
      <protection locked="0"/>
    </xf>
    <xf numFmtId="0" fontId="72" fillId="9" borderId="53" xfId="0" applyFont="1" applyFill="1" applyBorder="1" applyAlignment="1" applyProtection="1">
      <alignment horizontal="center"/>
      <protection locked="0"/>
    </xf>
    <xf numFmtId="0" fontId="57" fillId="9" borderId="23" xfId="0" applyFont="1" applyFill="1" applyBorder="1" applyAlignment="1" applyProtection="1">
      <alignment horizontal="center"/>
      <protection locked="0"/>
    </xf>
    <xf numFmtId="0" fontId="57" fillId="9" borderId="22" xfId="0" applyFont="1" applyFill="1" applyBorder="1" applyAlignment="1" applyProtection="1">
      <alignment horizontal="center"/>
      <protection locked="0"/>
    </xf>
    <xf numFmtId="0" fontId="57" fillId="9" borderId="24" xfId="0" applyFont="1" applyFill="1" applyBorder="1" applyAlignment="1" applyProtection="1">
      <alignment horizontal="center"/>
      <protection locked="0"/>
    </xf>
    <xf numFmtId="0" fontId="69" fillId="11" borderId="56" xfId="0" applyFont="1" applyFill="1" applyBorder="1" applyAlignment="1" applyProtection="1">
      <alignment horizontal="center" vertical="center"/>
      <protection locked="0"/>
    </xf>
    <xf numFmtId="0" fontId="57" fillId="0" borderId="3" xfId="0" applyFont="1" applyBorder="1" applyAlignment="1" applyProtection="1">
      <alignment horizontal="right"/>
      <protection locked="0"/>
    </xf>
    <xf numFmtId="0" fontId="57" fillId="0" borderId="39" xfId="0" applyFont="1" applyBorder="1" applyAlignment="1" applyProtection="1">
      <alignment horizontal="right"/>
      <protection locked="0"/>
    </xf>
    <xf numFmtId="0" fontId="72" fillId="0" borderId="39" xfId="0" applyFont="1" applyBorder="1" applyAlignment="1" applyProtection="1">
      <alignment horizontal="center"/>
      <protection locked="0"/>
    </xf>
    <xf numFmtId="0" fontId="57" fillId="0" borderId="75" xfId="0" applyFont="1" applyBorder="1" applyAlignment="1" applyProtection="1">
      <alignment horizontal="right"/>
      <protection locked="0"/>
    </xf>
    <xf numFmtId="0" fontId="59" fillId="10" borderId="3" xfId="0" applyFont="1" applyFill="1" applyBorder="1" applyProtection="1">
      <protection locked="0"/>
    </xf>
    <xf numFmtId="0" fontId="59" fillId="10" borderId="41" xfId="0" applyFont="1" applyFill="1" applyBorder="1" applyProtection="1">
      <protection locked="0"/>
    </xf>
    <xf numFmtId="0" fontId="86" fillId="0" borderId="7" xfId="0" applyFont="1" applyBorder="1" applyAlignment="1" applyProtection="1">
      <alignment horizontal="right" vertical="center"/>
      <protection locked="0"/>
    </xf>
    <xf numFmtId="166" fontId="91" fillId="0" borderId="9" xfId="1" applyNumberFormat="1" applyFont="1" applyBorder="1" applyAlignment="1" applyProtection="1">
      <alignment horizontal="right"/>
      <protection locked="0"/>
    </xf>
    <xf numFmtId="166" fontId="59" fillId="0" borderId="0" xfId="1" applyNumberFormat="1" applyFont="1" applyFill="1" applyBorder="1" applyAlignment="1" applyProtection="1">
      <alignment horizontal="right"/>
      <protection locked="0"/>
    </xf>
    <xf numFmtId="166" fontId="91" fillId="0" borderId="9" xfId="1" applyNumberFormat="1" applyFont="1" applyFill="1" applyBorder="1" applyAlignment="1" applyProtection="1">
      <alignment horizontal="right"/>
      <protection locked="0"/>
    </xf>
    <xf numFmtId="166" fontId="91" fillId="0" borderId="0" xfId="1" applyNumberFormat="1" applyFont="1" applyFill="1" applyBorder="1" applyAlignment="1" applyProtection="1">
      <alignment horizontal="right"/>
      <protection locked="0"/>
    </xf>
    <xf numFmtId="166" fontId="59" fillId="0" borderId="76" xfId="1" applyNumberFormat="1" applyFont="1" applyFill="1" applyBorder="1" applyAlignment="1" applyProtection="1">
      <alignment horizontal="right"/>
      <protection locked="0"/>
    </xf>
    <xf numFmtId="166" fontId="59" fillId="10" borderId="9" xfId="1" applyNumberFormat="1" applyFont="1" applyFill="1" applyBorder="1" applyAlignment="1" applyProtection="1">
      <alignment horizontal="right"/>
      <protection locked="0"/>
    </xf>
    <xf numFmtId="166" fontId="91" fillId="10" borderId="12" xfId="1" applyNumberFormat="1" applyFont="1" applyFill="1" applyBorder="1" applyAlignment="1" applyProtection="1">
      <alignment horizontal="right"/>
      <protection locked="0"/>
    </xf>
    <xf numFmtId="166" fontId="57" fillId="0" borderId="0" xfId="0" applyNumberFormat="1" applyFont="1" applyProtection="1">
      <protection locked="0"/>
    </xf>
    <xf numFmtId="0" fontId="57" fillId="10" borderId="16" xfId="0" applyFont="1" applyFill="1" applyBorder="1" applyProtection="1">
      <protection locked="0"/>
    </xf>
    <xf numFmtId="0" fontId="86" fillId="0" borderId="7" xfId="0" applyFont="1" applyBorder="1" applyAlignment="1" applyProtection="1">
      <alignment vertical="center"/>
      <protection locked="0"/>
    </xf>
    <xf numFmtId="166" fontId="59" fillId="0" borderId="9" xfId="1" applyNumberFormat="1" applyFont="1" applyBorder="1" applyAlignment="1" applyProtection="1">
      <alignment horizontal="right"/>
      <protection locked="0"/>
    </xf>
    <xf numFmtId="166" fontId="60" fillId="0" borderId="0" xfId="1" applyNumberFormat="1" applyFont="1" applyFill="1" applyBorder="1" applyAlignment="1" applyProtection="1">
      <alignment horizontal="center"/>
      <protection locked="0"/>
    </xf>
    <xf numFmtId="166" fontId="59" fillId="0" borderId="9" xfId="1" applyNumberFormat="1" applyFont="1" applyFill="1" applyBorder="1" applyAlignment="1" applyProtection="1">
      <alignment horizontal="right"/>
      <protection locked="0"/>
    </xf>
    <xf numFmtId="0" fontId="59" fillId="10" borderId="9" xfId="0" applyFont="1" applyFill="1" applyBorder="1" applyAlignment="1" applyProtection="1">
      <alignment horizontal="right"/>
      <protection locked="0"/>
    </xf>
    <xf numFmtId="0" fontId="59" fillId="10" borderId="12" xfId="0" applyFont="1" applyFill="1" applyBorder="1" applyAlignment="1" applyProtection="1">
      <alignment horizontal="right"/>
      <protection locked="0"/>
    </xf>
    <xf numFmtId="0" fontId="69" fillId="11" borderId="16" xfId="0" applyFont="1" applyFill="1" applyBorder="1" applyAlignment="1" applyProtection="1">
      <alignment horizontal="center" vertical="center"/>
      <protection locked="0"/>
    </xf>
    <xf numFmtId="166" fontId="59" fillId="0" borderId="0" xfId="1" applyNumberFormat="1" applyFont="1" applyBorder="1" applyAlignment="1" applyProtection="1">
      <alignment horizontal="right"/>
      <protection locked="0"/>
    </xf>
    <xf numFmtId="166" fontId="91" fillId="0" borderId="0" xfId="1" applyNumberFormat="1" applyFont="1" applyBorder="1" applyAlignment="1" applyProtection="1">
      <alignment horizontal="right"/>
      <protection locked="0"/>
    </xf>
    <xf numFmtId="166" fontId="59" fillId="0" borderId="76" xfId="1" applyNumberFormat="1" applyFont="1" applyBorder="1" applyAlignment="1" applyProtection="1">
      <alignment horizontal="right"/>
      <protection locked="0"/>
    </xf>
    <xf numFmtId="166" fontId="60" fillId="0" borderId="0" xfId="1" applyNumberFormat="1" applyFont="1" applyBorder="1" applyAlignment="1" applyProtection="1">
      <alignment horizontal="center"/>
      <protection locked="0"/>
    </xf>
    <xf numFmtId="166" fontId="59" fillId="10" borderId="12" xfId="1" applyNumberFormat="1" applyFont="1" applyFill="1" applyBorder="1" applyAlignment="1" applyProtection="1">
      <alignment horizontal="right"/>
      <protection locked="0"/>
    </xf>
    <xf numFmtId="0" fontId="72" fillId="0" borderId="0" xfId="0" applyFont="1" applyProtection="1">
      <protection locked="0"/>
    </xf>
    <xf numFmtId="166" fontId="59" fillId="0" borderId="0" xfId="0" applyNumberFormat="1" applyFont="1" applyProtection="1">
      <protection locked="0"/>
    </xf>
    <xf numFmtId="0" fontId="57" fillId="0" borderId="7" xfId="0" applyFont="1" applyBorder="1" applyProtection="1">
      <protection locked="0"/>
    </xf>
    <xf numFmtId="166" fontId="57" fillId="0" borderId="9" xfId="1" applyNumberFormat="1" applyFont="1" applyFill="1" applyBorder="1" applyAlignment="1" applyProtection="1">
      <alignment horizontal="right"/>
      <protection locked="0"/>
    </xf>
    <xf numFmtId="166" fontId="57" fillId="0" borderId="0" xfId="1" applyNumberFormat="1" applyFont="1" applyFill="1" applyBorder="1" applyAlignment="1" applyProtection="1">
      <alignment horizontal="right"/>
      <protection locked="0"/>
    </xf>
    <xf numFmtId="166" fontId="72" fillId="0" borderId="0" xfId="1" applyNumberFormat="1" applyFont="1" applyFill="1" applyBorder="1" applyAlignment="1" applyProtection="1">
      <alignment horizontal="center"/>
      <protection locked="0"/>
    </xf>
    <xf numFmtId="0" fontId="59" fillId="0" borderId="0" xfId="0" applyFont="1" applyAlignment="1" applyProtection="1">
      <alignment horizontal="right"/>
      <protection locked="0"/>
    </xf>
    <xf numFmtId="0" fontId="59" fillId="0" borderId="76" xfId="0" applyFont="1" applyBorder="1" applyAlignment="1" applyProtection="1">
      <alignment horizontal="right"/>
      <protection locked="0"/>
    </xf>
    <xf numFmtId="0" fontId="59" fillId="8" borderId="74" xfId="0" applyFont="1" applyFill="1" applyBorder="1" applyAlignment="1" applyProtection="1">
      <alignment horizontal="right"/>
      <protection locked="0"/>
    </xf>
    <xf numFmtId="0" fontId="59" fillId="8" borderId="86" xfId="0" applyFont="1" applyFill="1" applyBorder="1" applyAlignment="1" applyProtection="1">
      <alignment horizontal="right"/>
      <protection locked="0"/>
    </xf>
    <xf numFmtId="0" fontId="57" fillId="11" borderId="36" xfId="0" applyFont="1" applyFill="1" applyBorder="1" applyProtection="1">
      <protection locked="0"/>
    </xf>
    <xf numFmtId="166" fontId="57" fillId="0" borderId="0" xfId="1" applyNumberFormat="1" applyFont="1" applyFill="1" applyBorder="1" applyProtection="1">
      <protection locked="0"/>
    </xf>
    <xf numFmtId="166" fontId="59" fillId="0" borderId="0" xfId="1" applyNumberFormat="1" applyFont="1" applyFill="1" applyBorder="1" applyProtection="1">
      <protection locked="0"/>
    </xf>
    <xf numFmtId="43" fontId="57" fillId="0" borderId="0" xfId="1" applyFont="1" applyProtection="1">
      <protection locked="0"/>
    </xf>
    <xf numFmtId="166" fontId="60" fillId="0" borderId="0" xfId="1" applyNumberFormat="1" applyFont="1" applyAlignment="1" applyProtection="1">
      <alignment horizontal="center"/>
      <protection locked="0"/>
    </xf>
    <xf numFmtId="10" fontId="57" fillId="0" borderId="6" xfId="3" applyNumberFormat="1" applyFont="1" applyFill="1" applyBorder="1" applyProtection="1">
      <protection locked="0"/>
    </xf>
    <xf numFmtId="10" fontId="57" fillId="0" borderId="0" xfId="3" applyNumberFormat="1" applyFont="1" applyFill="1" applyBorder="1" applyProtection="1">
      <protection locked="0"/>
    </xf>
    <xf numFmtId="10" fontId="57" fillId="0" borderId="0" xfId="3" applyNumberFormat="1" applyFont="1" applyProtection="1">
      <protection locked="0"/>
    </xf>
    <xf numFmtId="43" fontId="72" fillId="0" borderId="0" xfId="1" applyFont="1" applyProtection="1">
      <protection locked="0"/>
    </xf>
    <xf numFmtId="166" fontId="60" fillId="0" borderId="0" xfId="1" applyNumberFormat="1" applyFont="1" applyProtection="1">
      <protection locked="0"/>
    </xf>
    <xf numFmtId="10" fontId="57" fillId="0" borderId="70" xfId="3" applyNumberFormat="1" applyFont="1" applyFill="1" applyBorder="1" applyProtection="1">
      <protection locked="0"/>
    </xf>
    <xf numFmtId="10" fontId="57" fillId="0" borderId="38" xfId="3" applyNumberFormat="1" applyFont="1" applyFill="1" applyBorder="1" applyProtection="1">
      <protection locked="0"/>
    </xf>
    <xf numFmtId="166" fontId="57" fillId="0" borderId="0" xfId="1" applyNumberFormat="1" applyFont="1" applyProtection="1">
      <protection locked="0"/>
    </xf>
    <xf numFmtId="10" fontId="59" fillId="0" borderId="0" xfId="3" applyNumberFormat="1" applyFont="1" applyProtection="1">
      <protection locked="0"/>
    </xf>
    <xf numFmtId="166" fontId="57" fillId="10" borderId="10" xfId="1" applyNumberFormat="1" applyFont="1" applyFill="1" applyBorder="1" applyAlignment="1" applyProtection="1">
      <alignment horizontal="right"/>
    </xf>
    <xf numFmtId="166" fontId="57" fillId="10" borderId="30" xfId="1" applyNumberFormat="1" applyFont="1" applyFill="1" applyBorder="1" applyAlignment="1" applyProtection="1">
      <alignment horizontal="right"/>
    </xf>
    <xf numFmtId="9" fontId="72" fillId="10" borderId="30" xfId="3" applyFont="1" applyFill="1" applyBorder="1" applyAlignment="1" applyProtection="1">
      <alignment horizontal="center"/>
    </xf>
    <xf numFmtId="166" fontId="57" fillId="10" borderId="11" xfId="1" applyNumberFormat="1" applyFont="1" applyFill="1" applyBorder="1" applyAlignment="1" applyProtection="1">
      <alignment horizontal="right"/>
    </xf>
    <xf numFmtId="166" fontId="57" fillId="10" borderId="19" xfId="1" applyNumberFormat="1" applyFont="1" applyFill="1" applyBorder="1" applyAlignment="1" applyProtection="1">
      <alignment horizontal="right"/>
    </xf>
    <xf numFmtId="166" fontId="59" fillId="0" borderId="0" xfId="1" applyNumberFormat="1" applyFont="1" applyFill="1" applyBorder="1" applyAlignment="1" applyProtection="1">
      <alignment horizontal="right"/>
    </xf>
    <xf numFmtId="9" fontId="60" fillId="0" borderId="0" xfId="3" applyFont="1" applyFill="1" applyBorder="1" applyAlignment="1" applyProtection="1">
      <alignment horizontal="center"/>
    </xf>
    <xf numFmtId="166" fontId="59" fillId="0" borderId="76" xfId="1" applyNumberFormat="1" applyFont="1" applyFill="1" applyBorder="1" applyAlignment="1" applyProtection="1">
      <alignment horizontal="right"/>
    </xf>
    <xf numFmtId="166" fontId="59" fillId="10" borderId="9" xfId="1" applyNumberFormat="1" applyFont="1" applyFill="1" applyBorder="1" applyAlignment="1" applyProtection="1">
      <alignment horizontal="right"/>
    </xf>
    <xf numFmtId="166" fontId="59" fillId="0" borderId="0" xfId="1" applyNumberFormat="1" applyFont="1" applyBorder="1" applyAlignment="1" applyProtection="1">
      <alignment horizontal="right"/>
    </xf>
    <xf numFmtId="166" fontId="59" fillId="0" borderId="76" xfId="1" applyNumberFormat="1" applyFont="1" applyBorder="1" applyAlignment="1" applyProtection="1">
      <alignment horizontal="right"/>
    </xf>
    <xf numFmtId="9" fontId="60" fillId="10" borderId="30" xfId="3" applyFont="1" applyFill="1" applyBorder="1" applyAlignment="1" applyProtection="1">
      <alignment horizontal="center"/>
    </xf>
    <xf numFmtId="166" fontId="57" fillId="11" borderId="32" xfId="1" applyNumberFormat="1" applyFont="1" applyFill="1" applyBorder="1" applyAlignment="1" applyProtection="1">
      <alignment horizontal="right"/>
    </xf>
    <xf numFmtId="166" fontId="57" fillId="11" borderId="37" xfId="1" applyNumberFormat="1" applyFont="1" applyFill="1" applyBorder="1" applyAlignment="1" applyProtection="1">
      <alignment horizontal="right"/>
    </xf>
    <xf numFmtId="9" fontId="60" fillId="11" borderId="37" xfId="3" applyFont="1" applyFill="1" applyBorder="1" applyAlignment="1" applyProtection="1">
      <alignment horizontal="center"/>
    </xf>
    <xf numFmtId="166" fontId="57" fillId="11" borderId="51" xfId="1" applyNumberFormat="1" applyFont="1" applyFill="1" applyBorder="1" applyAlignment="1" applyProtection="1">
      <alignment horizontal="right"/>
    </xf>
    <xf numFmtId="166" fontId="57" fillId="11" borderId="33" xfId="1" applyNumberFormat="1" applyFont="1" applyFill="1" applyBorder="1" applyAlignment="1" applyProtection="1">
      <alignment horizontal="right"/>
    </xf>
    <xf numFmtId="0" fontId="5" fillId="11" borderId="55" xfId="0" applyFont="1" applyFill="1" applyBorder="1" applyAlignment="1">
      <alignment horizontal="center" vertical="center"/>
    </xf>
    <xf numFmtId="0" fontId="4" fillId="10" borderId="20" xfId="0" applyFont="1" applyFill="1" applyBorder="1"/>
    <xf numFmtId="0" fontId="4" fillId="0" borderId="20" xfId="0" applyFont="1" applyBorder="1"/>
    <xf numFmtId="0" fontId="4" fillId="0" borderId="50" xfId="0" applyFont="1" applyBorder="1"/>
    <xf numFmtId="2" fontId="5" fillId="11" borderId="52" xfId="0" applyNumberFormat="1" applyFont="1" applyFill="1" applyBorder="1" applyAlignment="1">
      <alignment horizontal="left"/>
    </xf>
    <xf numFmtId="0" fontId="5" fillId="11" borderId="52" xfId="0" applyFont="1" applyFill="1" applyBorder="1" applyAlignment="1">
      <alignment horizontal="left"/>
    </xf>
    <xf numFmtId="2" fontId="5" fillId="11" borderId="52" xfId="0" applyNumberFormat="1" applyFont="1" applyFill="1" applyBorder="1" applyAlignment="1">
      <alignment horizontal="right"/>
    </xf>
    <xf numFmtId="0" fontId="4" fillId="10" borderId="20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9" fontId="4" fillId="0" borderId="48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9" fontId="4" fillId="0" borderId="34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164" fontId="8" fillId="8" borderId="21" xfId="2" applyNumberFormat="1" applyFont="1" applyFill="1" applyBorder="1" applyProtection="1">
      <protection locked="0"/>
    </xf>
    <xf numFmtId="164" fontId="8" fillId="8" borderId="66" xfId="2" applyNumberFormat="1" applyFont="1" applyFill="1" applyBorder="1" applyProtection="1">
      <protection locked="0"/>
    </xf>
    <xf numFmtId="164" fontId="4" fillId="8" borderId="25" xfId="2" applyNumberFormat="1" applyFont="1" applyFill="1" applyBorder="1" applyProtection="1">
      <protection locked="0"/>
    </xf>
    <xf numFmtId="164" fontId="8" fillId="8" borderId="25" xfId="2" applyNumberFormat="1" applyFont="1" applyFill="1" applyBorder="1" applyProtection="1">
      <protection locked="0"/>
    </xf>
    <xf numFmtId="164" fontId="4" fillId="0" borderId="66" xfId="2" applyNumberFormat="1" applyFont="1" applyFill="1" applyBorder="1" applyProtection="1">
      <protection locked="0"/>
    </xf>
    <xf numFmtId="0" fontId="21" fillId="9" borderId="1" xfId="0" applyFont="1" applyFill="1" applyBorder="1" applyAlignment="1" applyProtection="1">
      <alignment horizontal="center"/>
      <protection locked="0"/>
    </xf>
    <xf numFmtId="0" fontId="21" fillId="9" borderId="39" xfId="0" applyFont="1" applyFill="1" applyBorder="1" applyAlignment="1" applyProtection="1">
      <alignment horizontal="center"/>
      <protection locked="0"/>
    </xf>
    <xf numFmtId="0" fontId="21" fillId="9" borderId="61" xfId="0" applyFont="1" applyFill="1" applyBorder="1" applyAlignment="1" applyProtection="1">
      <alignment horizontal="center"/>
      <protection locked="0"/>
    </xf>
    <xf numFmtId="164" fontId="4" fillId="0" borderId="0" xfId="0" applyNumberFormat="1" applyFont="1"/>
    <xf numFmtId="164" fontId="4" fillId="0" borderId="0" xfId="2" applyNumberFormat="1" applyFont="1"/>
    <xf numFmtId="14" fontId="4" fillId="0" borderId="0" xfId="0" applyNumberFormat="1" applyFont="1"/>
    <xf numFmtId="0" fontId="5" fillId="11" borderId="17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/>
    </xf>
    <xf numFmtId="9" fontId="4" fillId="0" borderId="0" xfId="3" applyFont="1" applyAlignment="1">
      <alignment vertical="center"/>
    </xf>
    <xf numFmtId="0" fontId="4" fillId="10" borderId="25" xfId="0" applyFont="1" applyFill="1" applyBorder="1"/>
    <xf numFmtId="0" fontId="4" fillId="8" borderId="0" xfId="0" applyFont="1" applyFill="1"/>
    <xf numFmtId="0" fontId="4" fillId="8" borderId="65" xfId="0" applyFont="1" applyFill="1" applyBorder="1"/>
    <xf numFmtId="9" fontId="4" fillId="0" borderId="0" xfId="3" applyFont="1"/>
    <xf numFmtId="17" fontId="4" fillId="8" borderId="20" xfId="0" applyNumberFormat="1" applyFont="1" applyFill="1" applyBorder="1" applyAlignment="1">
      <alignment horizontal="center"/>
    </xf>
    <xf numFmtId="0" fontId="4" fillId="8" borderId="53" xfId="0" applyFont="1" applyFill="1" applyBorder="1"/>
    <xf numFmtId="0" fontId="4" fillId="8" borderId="54" xfId="0" applyFont="1" applyFill="1" applyBorder="1"/>
    <xf numFmtId="0" fontId="4" fillId="0" borderId="0" xfId="0" applyFont="1" applyAlignment="1">
      <alignment horizontal="right"/>
    </xf>
    <xf numFmtId="9" fontId="4" fillId="0" borderId="0" xfId="0" applyNumberFormat="1" applyFont="1"/>
    <xf numFmtId="0" fontId="92" fillId="10" borderId="35" xfId="0" applyFont="1" applyFill="1" applyBorder="1" applyAlignment="1" applyProtection="1">
      <alignment horizontal="right" vertical="center"/>
      <protection locked="0"/>
    </xf>
    <xf numFmtId="0" fontId="93" fillId="10" borderId="49" xfId="0" applyFont="1" applyFill="1" applyBorder="1" applyAlignment="1" applyProtection="1">
      <alignment vertical="center"/>
      <protection locked="0"/>
    </xf>
    <xf numFmtId="0" fontId="94" fillId="10" borderId="21" xfId="0" applyFont="1" applyFill="1" applyBorder="1" applyAlignment="1" applyProtection="1">
      <alignment vertical="center"/>
      <protection locked="0"/>
    </xf>
    <xf numFmtId="0" fontId="95" fillId="10" borderId="47" xfId="0" applyFont="1" applyFill="1" applyBorder="1" applyAlignment="1" applyProtection="1">
      <alignment horizontal="right" vertical="center"/>
      <protection locked="0"/>
    </xf>
    <xf numFmtId="164" fontId="98" fillId="8" borderId="17" xfId="2" applyNumberFormat="1" applyFont="1" applyFill="1" applyBorder="1" applyProtection="1">
      <protection locked="0"/>
    </xf>
    <xf numFmtId="164" fontId="97" fillId="8" borderId="17" xfId="2" applyNumberFormat="1" applyFont="1" applyFill="1" applyBorder="1" applyProtection="1">
      <protection locked="0"/>
    </xf>
    <xf numFmtId="164" fontId="98" fillId="8" borderId="31" xfId="2" applyNumberFormat="1" applyFont="1" applyFill="1" applyBorder="1" applyProtection="1">
      <protection locked="0"/>
    </xf>
    <xf numFmtId="164" fontId="97" fillId="8" borderId="31" xfId="2" applyNumberFormat="1" applyFont="1" applyFill="1" applyBorder="1" applyProtection="1">
      <protection locked="0"/>
    </xf>
    <xf numFmtId="17" fontId="97" fillId="8" borderId="20" xfId="0" applyNumberFormat="1" applyFont="1" applyFill="1" applyBorder="1" applyAlignment="1" applyProtection="1">
      <alignment horizontal="center"/>
      <protection locked="0"/>
    </xf>
    <xf numFmtId="17" fontId="4" fillId="8" borderId="50" xfId="0" applyNumberFormat="1" applyFont="1" applyFill="1" applyBorder="1" applyAlignment="1" applyProtection="1">
      <alignment horizontal="center"/>
      <protection locked="0"/>
    </xf>
    <xf numFmtId="164" fontId="94" fillId="8" borderId="17" xfId="2" applyNumberFormat="1" applyFont="1" applyFill="1" applyBorder="1" applyAlignment="1" applyProtection="1">
      <alignment horizontal="center" vertical="center"/>
    </xf>
    <xf numFmtId="164" fontId="94" fillId="8" borderId="19" xfId="2" applyNumberFormat="1" applyFont="1" applyFill="1" applyBorder="1" applyAlignment="1" applyProtection="1">
      <alignment horizontal="center" vertical="center"/>
    </xf>
    <xf numFmtId="164" fontId="96" fillId="8" borderId="17" xfId="2" applyNumberFormat="1" applyFont="1" applyFill="1" applyBorder="1" applyAlignment="1" applyProtection="1">
      <alignment horizontal="center" vertical="center"/>
    </xf>
    <xf numFmtId="164" fontId="96" fillId="8" borderId="19" xfId="2" applyNumberFormat="1" applyFont="1" applyFill="1" applyBorder="1" applyAlignment="1" applyProtection="1">
      <alignment horizontal="center" vertical="center"/>
    </xf>
    <xf numFmtId="164" fontId="18" fillId="11" borderId="6" xfId="0" applyNumberFormat="1" applyFont="1" applyFill="1" applyBorder="1"/>
    <xf numFmtId="164" fontId="18" fillId="11" borderId="73" xfId="0" applyNumberFormat="1" applyFont="1" applyFill="1" applyBorder="1"/>
    <xf numFmtId="0" fontId="16" fillId="0" borderId="53" xfId="0" applyFont="1" applyBorder="1" applyAlignment="1" applyProtection="1">
      <alignment vertical="center"/>
      <protection locked="0"/>
    </xf>
    <xf numFmtId="2" fontId="16" fillId="0" borderId="53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51" fillId="0" borderId="0" xfId="0" applyFont="1" applyAlignment="1" applyProtection="1">
      <alignment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5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49" fillId="0" borderId="0" xfId="0" applyFont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9" fillId="4" borderId="0" xfId="0" applyFont="1" applyFill="1" applyAlignment="1" applyProtection="1">
      <alignment vertical="center"/>
      <protection locked="0"/>
    </xf>
    <xf numFmtId="0" fontId="14" fillId="4" borderId="0" xfId="0" applyFont="1" applyFill="1" applyAlignment="1" applyProtection="1">
      <alignment vertical="center"/>
      <protection locked="0"/>
    </xf>
    <xf numFmtId="0" fontId="44" fillId="0" borderId="7" xfId="0" applyFont="1" applyBorder="1" applyAlignment="1" applyProtection="1">
      <alignment vertical="center"/>
      <protection locked="0"/>
    </xf>
    <xf numFmtId="6" fontId="14" fillId="0" borderId="0" xfId="0" applyNumberFormat="1" applyFont="1" applyAlignment="1" applyProtection="1">
      <alignment vertical="center"/>
      <protection locked="0"/>
    </xf>
    <xf numFmtId="0" fontId="44" fillId="0" borderId="25" xfId="0" applyFont="1" applyBorder="1" applyAlignment="1" applyProtection="1">
      <alignment vertical="center"/>
      <protection locked="0"/>
    </xf>
    <xf numFmtId="6" fontId="14" fillId="0" borderId="21" xfId="0" applyNumberFormat="1" applyFont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14" fillId="8" borderId="0" xfId="0" applyFont="1" applyFill="1" applyAlignment="1" applyProtection="1">
      <alignment vertical="center"/>
      <protection locked="0"/>
    </xf>
    <xf numFmtId="0" fontId="42" fillId="8" borderId="0" xfId="0" applyFont="1" applyFill="1" applyAlignment="1" applyProtection="1">
      <alignment vertical="center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168" fontId="14" fillId="0" borderId="0" xfId="0" applyNumberFormat="1" applyFont="1" applyAlignment="1" applyProtection="1">
      <alignment vertical="center"/>
      <protection locked="0"/>
    </xf>
    <xf numFmtId="43" fontId="14" fillId="0" borderId="0" xfId="1" applyFont="1" applyBorder="1" applyAlignment="1" applyProtection="1">
      <alignment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2" fontId="14" fillId="13" borderId="9" xfId="0" applyNumberFormat="1" applyFont="1" applyFill="1" applyBorder="1" applyAlignment="1" applyProtection="1">
      <alignment vertical="center"/>
      <protection locked="0"/>
    </xf>
    <xf numFmtId="2" fontId="14" fillId="13" borderId="9" xfId="0" applyNumberFormat="1" applyFont="1" applyFill="1" applyBorder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41" fontId="14" fillId="0" borderId="0" xfId="0" applyNumberFormat="1" applyFont="1" applyAlignment="1" applyProtection="1">
      <alignment vertical="center"/>
      <protection locked="0"/>
    </xf>
    <xf numFmtId="164" fontId="44" fillId="0" borderId="72" xfId="0" applyNumberFormat="1" applyFont="1" applyBorder="1" applyAlignment="1" applyProtection="1">
      <alignment vertical="center"/>
      <protection locked="0"/>
    </xf>
    <xf numFmtId="164" fontId="44" fillId="0" borderId="27" xfId="0" applyNumberFormat="1" applyFont="1" applyBorder="1" applyAlignment="1" applyProtection="1">
      <alignment vertical="center"/>
      <protection locked="0"/>
    </xf>
    <xf numFmtId="164" fontId="44" fillId="0" borderId="63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10" borderId="76" xfId="4" applyFont="1" applyFill="1" applyBorder="1" applyAlignment="1" applyProtection="1">
      <alignment horizontal="left" vertical="center"/>
      <protection locked="0"/>
    </xf>
    <xf numFmtId="0" fontId="16" fillId="10" borderId="76" xfId="4" applyFont="1" applyFill="1" applyBorder="1" applyAlignment="1" applyProtection="1">
      <alignment horizontal="left" vertical="center"/>
      <protection locked="0"/>
    </xf>
    <xf numFmtId="174" fontId="14" fillId="0" borderId="0" xfId="0" applyNumberFormat="1" applyFont="1" applyAlignment="1" applyProtection="1">
      <alignment vertical="center"/>
      <protection locked="0"/>
    </xf>
    <xf numFmtId="0" fontId="14" fillId="10" borderId="22" xfId="4" applyFont="1" applyFill="1" applyBorder="1" applyAlignment="1" applyProtection="1">
      <alignment horizontal="left" vertical="center"/>
      <protection locked="0"/>
    </xf>
    <xf numFmtId="0" fontId="49" fillId="0" borderId="0" xfId="4" applyFont="1" applyAlignment="1" applyProtection="1">
      <alignment vertical="center"/>
      <protection locked="0"/>
    </xf>
    <xf numFmtId="0" fontId="14" fillId="0" borderId="0" xfId="4" applyFont="1" applyAlignment="1" applyProtection="1">
      <alignment vertical="center"/>
      <protection locked="0"/>
    </xf>
    <xf numFmtId="2" fontId="16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9" borderId="75" xfId="0" applyFont="1" applyFill="1" applyBorder="1" applyAlignment="1" applyProtection="1">
      <alignment horizontal="right" vertical="center"/>
      <protection locked="0"/>
    </xf>
    <xf numFmtId="9" fontId="18" fillId="0" borderId="0" xfId="3" applyFont="1" applyBorder="1" applyAlignment="1" applyProtection="1">
      <alignment horizontal="center" vertical="center"/>
      <protection locked="0"/>
    </xf>
    <xf numFmtId="9" fontId="18" fillId="0" borderId="0" xfId="0" applyNumberFormat="1" applyFont="1" applyAlignment="1" applyProtection="1">
      <alignment horizontal="center" vertical="center"/>
      <protection locked="0"/>
    </xf>
    <xf numFmtId="0" fontId="14" fillId="9" borderId="22" xfId="0" applyFont="1" applyFill="1" applyBorder="1" applyAlignment="1" applyProtection="1">
      <alignment horizontal="right" vertical="center"/>
      <protection locked="0"/>
    </xf>
    <xf numFmtId="9" fontId="14" fillId="0" borderId="0" xfId="0" applyNumberFormat="1" applyFont="1" applyAlignment="1" applyProtection="1">
      <alignment horizontal="center" vertical="center"/>
      <protection locked="0"/>
    </xf>
    <xf numFmtId="9" fontId="19" fillId="0" borderId="0" xfId="3" applyFont="1" applyBorder="1" applyAlignment="1" applyProtection="1">
      <alignment horizontal="center" vertical="center"/>
      <protection locked="0"/>
    </xf>
    <xf numFmtId="10" fontId="16" fillId="0" borderId="0" xfId="3" applyNumberFormat="1" applyFont="1" applyBorder="1" applyAlignment="1" applyProtection="1">
      <alignment horizontal="center" vertical="center"/>
      <protection locked="0"/>
    </xf>
    <xf numFmtId="0" fontId="16" fillId="11" borderId="30" xfId="0" applyFont="1" applyFill="1" applyBorder="1" applyAlignment="1" applyProtection="1">
      <alignment horizontal="center" vertical="center"/>
      <protection locked="0"/>
    </xf>
    <xf numFmtId="0" fontId="16" fillId="11" borderId="30" xfId="0" applyFont="1" applyFill="1" applyBorder="1" applyAlignment="1" applyProtection="1">
      <alignment vertical="center"/>
      <protection locked="0"/>
    </xf>
    <xf numFmtId="0" fontId="16" fillId="11" borderId="11" xfId="0" applyFont="1" applyFill="1" applyBorder="1" applyAlignment="1" applyProtection="1">
      <alignment horizontal="center" vertical="center"/>
      <protection locked="0"/>
    </xf>
    <xf numFmtId="0" fontId="19" fillId="11" borderId="10" xfId="0" applyFont="1" applyFill="1" applyBorder="1" applyAlignment="1">
      <alignment horizontal="center" vertical="center"/>
    </xf>
    <xf numFmtId="0" fontId="19" fillId="11" borderId="11" xfId="0" applyFont="1" applyFill="1" applyBorder="1" applyAlignment="1">
      <alignment horizontal="center" vertical="center"/>
    </xf>
    <xf numFmtId="0" fontId="16" fillId="0" borderId="9" xfId="0" applyFont="1" applyBorder="1" applyAlignment="1" applyProtection="1">
      <alignment vertical="center"/>
      <protection locked="0"/>
    </xf>
    <xf numFmtId="9" fontId="38" fillId="0" borderId="0" xfId="3" applyFont="1" applyBorder="1" applyAlignment="1" applyProtection="1">
      <alignment horizontal="center" vertical="center"/>
    </xf>
    <xf numFmtId="42" fontId="14" fillId="0" borderId="0" xfId="0" applyNumberFormat="1" applyFont="1" applyAlignment="1" applyProtection="1">
      <alignment horizontal="left" vertical="center"/>
      <protection locked="0"/>
    </xf>
    <xf numFmtId="9" fontId="18" fillId="0" borderId="0" xfId="3" applyFont="1" applyAlignment="1" applyProtection="1">
      <alignment horizontal="center" vertical="center"/>
    </xf>
    <xf numFmtId="0" fontId="16" fillId="10" borderId="9" xfId="0" applyFont="1" applyFill="1" applyBorder="1" applyAlignment="1" applyProtection="1">
      <alignment vertical="center"/>
      <protection locked="0"/>
    </xf>
    <xf numFmtId="0" fontId="16" fillId="10" borderId="35" xfId="0" applyFont="1" applyFill="1" applyBorder="1" applyAlignment="1" applyProtection="1">
      <alignment horizontal="center" vertical="center"/>
      <protection locked="0"/>
    </xf>
    <xf numFmtId="9" fontId="39" fillId="10" borderId="35" xfId="3" applyFont="1" applyFill="1" applyBorder="1" applyAlignment="1" applyProtection="1">
      <alignment horizontal="center" vertical="center"/>
    </xf>
    <xf numFmtId="42" fontId="16" fillId="10" borderId="35" xfId="0" applyNumberFormat="1" applyFont="1" applyFill="1" applyBorder="1" applyAlignment="1" applyProtection="1">
      <alignment horizontal="left" vertical="center"/>
      <protection locked="0"/>
    </xf>
    <xf numFmtId="9" fontId="19" fillId="0" borderId="10" xfId="3" applyFont="1" applyBorder="1" applyAlignment="1" applyProtection="1">
      <alignment horizontal="center" vertical="center"/>
    </xf>
    <xf numFmtId="9" fontId="19" fillId="0" borderId="11" xfId="3" applyFont="1" applyBorder="1" applyAlignment="1" applyProtection="1">
      <alignment horizontal="center" vertical="center"/>
    </xf>
    <xf numFmtId="0" fontId="16" fillId="10" borderId="35" xfId="0" applyFont="1" applyFill="1" applyBorder="1" applyAlignment="1">
      <alignment horizontal="center" vertical="center"/>
    </xf>
    <xf numFmtId="42" fontId="16" fillId="10" borderId="35" xfId="0" applyNumberFormat="1" applyFont="1" applyFill="1" applyBorder="1" applyAlignment="1">
      <alignment horizontal="left" vertical="center"/>
    </xf>
    <xf numFmtId="42" fontId="16" fillId="10" borderId="35" xfId="0" applyNumberFormat="1" applyFont="1" applyFill="1" applyBorder="1" applyAlignment="1">
      <alignment vertical="center"/>
    </xf>
    <xf numFmtId="9" fontId="39" fillId="11" borderId="17" xfId="0" applyNumberFormat="1" applyFont="1" applyFill="1" applyBorder="1" applyAlignment="1">
      <alignment horizontal="center" vertical="center"/>
    </xf>
    <xf numFmtId="0" fontId="16" fillId="10" borderId="98" xfId="0" applyFont="1" applyFill="1" applyBorder="1" applyAlignment="1">
      <alignment horizontal="left" vertical="center"/>
    </xf>
    <xf numFmtId="0" fontId="16" fillId="10" borderId="97" xfId="0" applyFont="1" applyFill="1" applyBorder="1" applyAlignment="1">
      <alignment horizontal="center" vertical="center"/>
    </xf>
    <xf numFmtId="9" fontId="39" fillId="10" borderId="97" xfId="3" applyFont="1" applyFill="1" applyBorder="1" applyAlignment="1" applyProtection="1">
      <alignment horizontal="center" vertical="center"/>
    </xf>
    <xf numFmtId="42" fontId="16" fillId="10" borderId="97" xfId="0" applyNumberFormat="1" applyFont="1" applyFill="1" applyBorder="1" applyAlignment="1">
      <alignment vertical="center"/>
    </xf>
    <xf numFmtId="42" fontId="16" fillId="10" borderId="97" xfId="0" applyNumberFormat="1" applyFont="1" applyFill="1" applyBorder="1" applyAlignment="1">
      <alignment horizontal="left" vertical="center"/>
    </xf>
    <xf numFmtId="9" fontId="39" fillId="11" borderId="92" xfId="0" applyNumberFormat="1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/>
      <protection locked="0"/>
    </xf>
    <xf numFmtId="0" fontId="16" fillId="0" borderId="9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9" fontId="39" fillId="0" borderId="0" xfId="3" applyFont="1" applyBorder="1" applyAlignment="1" applyProtection="1">
      <alignment horizontal="center" vertical="center"/>
    </xf>
    <xf numFmtId="42" fontId="16" fillId="0" borderId="0" xfId="0" applyNumberFormat="1" applyFont="1" applyAlignment="1">
      <alignment vertical="center"/>
    </xf>
    <xf numFmtId="9" fontId="39" fillId="0" borderId="0" xfId="0" applyNumberFormat="1" applyFont="1" applyAlignment="1">
      <alignment horizontal="center" vertical="center"/>
    </xf>
    <xf numFmtId="42" fontId="16" fillId="0" borderId="0" xfId="0" applyNumberFormat="1" applyFont="1" applyAlignment="1">
      <alignment horizontal="left" vertical="center"/>
    </xf>
    <xf numFmtId="168" fontId="16" fillId="0" borderId="0" xfId="0" applyNumberFormat="1" applyFont="1" applyAlignment="1">
      <alignment horizontal="center" vertical="center"/>
    </xf>
    <xf numFmtId="0" fontId="16" fillId="10" borderId="9" xfId="0" applyFont="1" applyFill="1" applyBorder="1" applyAlignment="1">
      <alignment vertical="center"/>
    </xf>
    <xf numFmtId="0" fontId="16" fillId="10" borderId="0" xfId="0" applyFont="1" applyFill="1" applyAlignment="1" applyProtection="1">
      <alignment horizontal="center" vertical="center"/>
      <protection locked="0"/>
    </xf>
    <xf numFmtId="9" fontId="39" fillId="10" borderId="0" xfId="3" applyFont="1" applyFill="1" applyBorder="1" applyAlignment="1" applyProtection="1">
      <alignment horizontal="center" vertical="center"/>
    </xf>
    <xf numFmtId="42" fontId="16" fillId="10" borderId="0" xfId="0" applyNumberFormat="1" applyFont="1" applyFill="1" applyAlignment="1" applyProtection="1">
      <alignment vertical="center"/>
      <protection locked="0"/>
    </xf>
    <xf numFmtId="9" fontId="39" fillId="10" borderId="0" xfId="3" applyFont="1" applyFill="1" applyBorder="1" applyAlignment="1" applyProtection="1">
      <alignment horizontal="center" vertical="center"/>
      <protection locked="0"/>
    </xf>
    <xf numFmtId="168" fontId="19" fillId="8" borderId="0" xfId="0" applyNumberFormat="1" applyFont="1" applyFill="1" applyAlignment="1" applyProtection="1">
      <alignment horizontal="right" vertical="center"/>
      <protection locked="0"/>
    </xf>
    <xf numFmtId="167" fontId="18" fillId="0" borderId="0" xfId="3" applyNumberFormat="1" applyFont="1" applyAlignment="1" applyProtection="1">
      <alignment horizontal="center" vertical="center"/>
      <protection locked="0"/>
    </xf>
    <xf numFmtId="0" fontId="14" fillId="10" borderId="9" xfId="0" applyFont="1" applyFill="1" applyBorder="1" applyAlignment="1">
      <alignment vertical="center"/>
    </xf>
    <xf numFmtId="0" fontId="14" fillId="10" borderId="0" xfId="0" applyFont="1" applyFill="1" applyAlignment="1" applyProtection="1">
      <alignment horizontal="center" vertical="center"/>
      <protection locked="0"/>
    </xf>
    <xf numFmtId="9" fontId="38" fillId="10" borderId="0" xfId="3" applyFont="1" applyFill="1" applyBorder="1" applyAlignment="1" applyProtection="1">
      <alignment horizontal="center" vertical="center"/>
    </xf>
    <xf numFmtId="42" fontId="14" fillId="10" borderId="0" xfId="0" applyNumberFormat="1" applyFont="1" applyFill="1" applyAlignment="1">
      <alignment vertical="center"/>
    </xf>
    <xf numFmtId="9" fontId="38" fillId="10" borderId="0" xfId="3" applyFont="1" applyFill="1" applyBorder="1" applyAlignment="1" applyProtection="1">
      <alignment horizontal="center" vertical="center"/>
      <protection locked="0"/>
    </xf>
    <xf numFmtId="168" fontId="16" fillId="11" borderId="10" xfId="0" applyNumberFormat="1" applyFont="1" applyFill="1" applyBorder="1" applyAlignment="1" applyProtection="1">
      <alignment horizontal="right" vertical="center"/>
      <protection locked="0"/>
    </xf>
    <xf numFmtId="9" fontId="39" fillId="10" borderId="35" xfId="3" applyFont="1" applyFill="1" applyBorder="1" applyAlignment="1" applyProtection="1">
      <alignment horizontal="center" vertical="center"/>
      <protection locked="0"/>
    </xf>
    <xf numFmtId="168" fontId="16" fillId="8" borderId="0" xfId="0" applyNumberFormat="1" applyFont="1" applyFill="1" applyAlignment="1" applyProtection="1">
      <alignment vertical="center"/>
      <protection locked="0"/>
    </xf>
    <xf numFmtId="0" fontId="14" fillId="0" borderId="9" xfId="0" applyFont="1" applyBorder="1" applyAlignment="1">
      <alignment vertical="center"/>
    </xf>
    <xf numFmtId="9" fontId="38" fillId="0" borderId="0" xfId="3" applyFont="1" applyFill="1" applyBorder="1" applyAlignment="1" applyProtection="1">
      <alignment horizontal="center" vertical="center"/>
    </xf>
    <xf numFmtId="9" fontId="38" fillId="0" borderId="0" xfId="3" applyFont="1" applyFill="1" applyBorder="1" applyAlignment="1" applyProtection="1">
      <alignment horizontal="center" vertical="center"/>
      <protection locked="0"/>
    </xf>
    <xf numFmtId="168" fontId="19" fillId="0" borderId="0" xfId="0" applyNumberFormat="1" applyFont="1" applyAlignment="1" applyProtection="1">
      <alignment horizontal="right" vertical="center"/>
      <protection locked="0"/>
    </xf>
    <xf numFmtId="168" fontId="19" fillId="0" borderId="0" xfId="0" applyNumberFormat="1" applyFont="1" applyAlignment="1" applyProtection="1">
      <alignment horizontal="center" vertical="center"/>
      <protection locked="0"/>
    </xf>
    <xf numFmtId="168" fontId="16" fillId="0" borderId="0" xfId="0" applyNumberFormat="1" applyFont="1" applyAlignment="1" applyProtection="1">
      <alignment horizontal="center" vertical="center"/>
      <protection locked="0"/>
    </xf>
    <xf numFmtId="167" fontId="19" fillId="0" borderId="0" xfId="3" applyNumberFormat="1" applyFont="1" applyFill="1" applyBorder="1" applyAlignment="1" applyProtection="1">
      <alignment vertical="center"/>
    </xf>
    <xf numFmtId="167" fontId="16" fillId="0" borderId="76" xfId="3" applyNumberFormat="1" applyFont="1" applyFill="1" applyBorder="1" applyAlignment="1" applyProtection="1">
      <alignment horizontal="center" vertical="center"/>
    </xf>
    <xf numFmtId="0" fontId="16" fillId="10" borderId="10" xfId="0" applyFont="1" applyFill="1" applyBorder="1" applyAlignment="1" applyProtection="1">
      <alignment vertical="center"/>
      <protection locked="0"/>
    </xf>
    <xf numFmtId="0" fontId="16" fillId="10" borderId="30" xfId="0" applyFont="1" applyFill="1" applyBorder="1" applyAlignment="1" applyProtection="1">
      <alignment horizontal="center" vertical="center"/>
      <protection locked="0"/>
    </xf>
    <xf numFmtId="9" fontId="39" fillId="10" borderId="30" xfId="3" applyFont="1" applyFill="1" applyBorder="1" applyAlignment="1" applyProtection="1">
      <alignment horizontal="center" vertical="center"/>
    </xf>
    <xf numFmtId="42" fontId="16" fillId="10" borderId="30" xfId="0" applyNumberFormat="1" applyFont="1" applyFill="1" applyBorder="1" applyAlignment="1" applyProtection="1">
      <alignment vertical="center"/>
      <protection locked="0"/>
    </xf>
    <xf numFmtId="42" fontId="16" fillId="10" borderId="30" xfId="0" applyNumberFormat="1" applyFont="1" applyFill="1" applyBorder="1" applyAlignment="1" applyProtection="1">
      <alignment horizontal="left" vertical="center"/>
      <protection locked="0"/>
    </xf>
    <xf numFmtId="42" fontId="19" fillId="0" borderId="0" xfId="0" applyNumberFormat="1" applyFont="1" applyAlignment="1" applyProtection="1">
      <alignment vertical="center"/>
      <protection locked="0"/>
    </xf>
    <xf numFmtId="0" fontId="101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16" fillId="0" borderId="9" xfId="0" applyFont="1" applyBorder="1" applyAlignment="1">
      <alignment horizontal="center" vertical="center"/>
    </xf>
    <xf numFmtId="42" fontId="14" fillId="0" borderId="0" xfId="0" applyNumberFormat="1" applyFont="1" applyAlignment="1" applyProtection="1">
      <alignment vertical="center" wrapText="1"/>
      <protection locked="0"/>
    </xf>
    <xf numFmtId="0" fontId="16" fillId="10" borderId="74" xfId="0" applyFont="1" applyFill="1" applyBorder="1" applyAlignment="1">
      <alignment vertical="center"/>
    </xf>
    <xf numFmtId="42" fontId="16" fillId="10" borderId="35" xfId="0" applyNumberFormat="1" applyFont="1" applyFill="1" applyBorder="1" applyAlignment="1" applyProtection="1">
      <alignment vertical="center"/>
      <protection locked="0"/>
    </xf>
    <xf numFmtId="168" fontId="16" fillId="10" borderId="35" xfId="0" applyNumberFormat="1" applyFont="1" applyFill="1" applyBorder="1" applyAlignment="1" applyProtection="1">
      <alignment horizontal="center" vertical="center"/>
      <protection locked="0"/>
    </xf>
    <xf numFmtId="42" fontId="16" fillId="10" borderId="49" xfId="0" applyNumberFormat="1" applyFont="1" applyFill="1" applyBorder="1" applyAlignment="1" applyProtection="1">
      <alignment horizontal="left" vertical="center"/>
      <protection locked="0"/>
    </xf>
    <xf numFmtId="0" fontId="16" fillId="11" borderId="14" xfId="0" applyFont="1" applyFill="1" applyBorder="1" applyAlignment="1">
      <alignment vertical="center"/>
    </xf>
    <xf numFmtId="0" fontId="16" fillId="11" borderId="21" xfId="0" applyFont="1" applyFill="1" applyBorder="1" applyAlignment="1">
      <alignment horizontal="center" vertical="center"/>
    </xf>
    <xf numFmtId="167" fontId="16" fillId="11" borderId="21" xfId="3" applyNumberFormat="1" applyFont="1" applyFill="1" applyBorder="1" applyAlignment="1" applyProtection="1">
      <alignment horizontal="center" vertical="center"/>
    </xf>
    <xf numFmtId="167" fontId="16" fillId="11" borderId="47" xfId="3" applyNumberFormat="1" applyFont="1" applyFill="1" applyBorder="1" applyAlignment="1" applyProtection="1">
      <alignment horizontal="center" vertical="center"/>
    </xf>
    <xf numFmtId="168" fontId="16" fillId="10" borderId="13" xfId="0" applyNumberFormat="1" applyFont="1" applyFill="1" applyBorder="1" applyAlignment="1" applyProtection="1">
      <alignment horizontal="center" vertical="center"/>
      <protection locked="0"/>
    </xf>
    <xf numFmtId="0" fontId="16" fillId="0" borderId="9" xfId="0" applyFont="1" applyBorder="1" applyAlignment="1">
      <alignment vertical="center"/>
    </xf>
    <xf numFmtId="167" fontId="16" fillId="0" borderId="0" xfId="3" applyNumberFormat="1" applyFont="1" applyFill="1" applyBorder="1" applyAlignment="1" applyProtection="1">
      <alignment horizontal="center" vertical="center"/>
    </xf>
    <xf numFmtId="0" fontId="16" fillId="10" borderId="74" xfId="0" applyFont="1" applyFill="1" applyBorder="1" applyAlignment="1" applyProtection="1">
      <alignment vertical="center"/>
      <protection locked="0"/>
    </xf>
    <xf numFmtId="0" fontId="16" fillId="10" borderId="35" xfId="0" applyFont="1" applyFill="1" applyBorder="1" applyAlignment="1" applyProtection="1">
      <alignment vertical="center"/>
      <protection locked="0"/>
    </xf>
    <xf numFmtId="0" fontId="16" fillId="11" borderId="14" xfId="0" applyFont="1" applyFill="1" applyBorder="1" applyAlignment="1" applyProtection="1">
      <alignment vertical="center"/>
      <protection locked="0"/>
    </xf>
    <xf numFmtId="0" fontId="14" fillId="11" borderId="21" xfId="0" applyFont="1" applyFill="1" applyBorder="1" applyAlignment="1" applyProtection="1">
      <alignment horizontal="center" vertical="center"/>
      <protection locked="0"/>
    </xf>
    <xf numFmtId="9" fontId="16" fillId="10" borderId="17" xfId="3" applyFont="1" applyFill="1" applyBorder="1" applyAlignment="1" applyProtection="1">
      <alignment horizontal="center" vertical="center"/>
      <protection locked="0"/>
    </xf>
    <xf numFmtId="9" fontId="16" fillId="0" borderId="21" xfId="3" applyFont="1" applyBorder="1" applyAlignment="1" applyProtection="1">
      <alignment horizontal="center" vertical="center"/>
      <protection locked="0"/>
    </xf>
    <xf numFmtId="0" fontId="14" fillId="8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82" fontId="5" fillId="8" borderId="0" xfId="6" applyNumberFormat="1" applyFont="1" applyFill="1" applyAlignment="1">
      <alignment horizontal="center" vertical="center"/>
    </xf>
    <xf numFmtId="182" fontId="104" fillId="0" borderId="65" xfId="6" applyNumberFormat="1" applyFont="1" applyBorder="1" applyAlignment="1">
      <alignment vertical="center"/>
    </xf>
    <xf numFmtId="182" fontId="104" fillId="0" borderId="99" xfId="6" applyNumberFormat="1" applyFont="1" applyBorder="1" applyAlignment="1">
      <alignment vertical="center"/>
    </xf>
    <xf numFmtId="182" fontId="104" fillId="0" borderId="54" xfId="6" applyNumberFormat="1" applyFont="1" applyBorder="1" applyAlignment="1">
      <alignment vertical="center"/>
    </xf>
    <xf numFmtId="164" fontId="30" fillId="8" borderId="0" xfId="2" applyNumberFormat="1" applyFont="1" applyFill="1" applyBorder="1" applyAlignment="1">
      <alignment horizontal="left" vertical="center"/>
    </xf>
    <xf numFmtId="182" fontId="5" fillId="9" borderId="9" xfId="6" applyNumberFormat="1" applyFont="1" applyFill="1" applyBorder="1" applyAlignment="1">
      <alignment horizontal="center" vertical="center" wrapText="1"/>
    </xf>
    <xf numFmtId="182" fontId="5" fillId="9" borderId="12" xfId="6" applyNumberFormat="1" applyFont="1" applyFill="1" applyBorder="1" applyAlignment="1">
      <alignment horizontal="center" vertical="center" wrapText="1"/>
    </xf>
    <xf numFmtId="182" fontId="5" fillId="9" borderId="14" xfId="6" applyNumberFormat="1" applyFont="1" applyFill="1" applyBorder="1" applyAlignment="1">
      <alignment horizontal="center" vertical="center" wrapText="1"/>
    </xf>
    <xf numFmtId="182" fontId="5" fillId="9" borderId="15" xfId="6" applyNumberFormat="1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vertical="center"/>
    </xf>
    <xf numFmtId="0" fontId="5" fillId="10" borderId="39" xfId="0" applyFont="1" applyFill="1" applyBorder="1" applyAlignment="1">
      <alignment horizontal="right" vertical="center"/>
    </xf>
    <xf numFmtId="0" fontId="4" fillId="10" borderId="0" xfId="0" applyFont="1" applyFill="1" applyAlignment="1">
      <alignment vertical="center"/>
    </xf>
    <xf numFmtId="0" fontId="5" fillId="1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10" borderId="1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4" fillId="10" borderId="52" xfId="0" applyFont="1" applyFill="1" applyBorder="1" applyAlignment="1">
      <alignment vertical="center"/>
    </xf>
    <xf numFmtId="0" fontId="4" fillId="10" borderId="53" xfId="0" applyFont="1" applyFill="1" applyBorder="1" applyAlignment="1">
      <alignment vertical="center"/>
    </xf>
    <xf numFmtId="42" fontId="16" fillId="11" borderId="32" xfId="0" applyNumberFormat="1" applyFont="1" applyFill="1" applyBorder="1" applyAlignment="1">
      <alignment horizontal="center" vertical="center"/>
    </xf>
    <xf numFmtId="42" fontId="16" fillId="11" borderId="37" xfId="0" applyNumberFormat="1" applyFont="1" applyFill="1" applyBorder="1" applyAlignment="1">
      <alignment horizontal="center" vertical="center"/>
    </xf>
    <xf numFmtId="42" fontId="16" fillId="11" borderId="51" xfId="0" applyNumberFormat="1" applyFont="1" applyFill="1" applyBorder="1" applyAlignment="1">
      <alignment horizontal="center" vertical="center"/>
    </xf>
    <xf numFmtId="42" fontId="16" fillId="11" borderId="60" xfId="0" applyNumberFormat="1" applyFont="1" applyFill="1" applyBorder="1" applyAlignment="1">
      <alignment horizontal="center" vertical="center"/>
    </xf>
    <xf numFmtId="42" fontId="16" fillId="11" borderId="38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165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165" fontId="105" fillId="12" borderId="0" xfId="0" applyNumberFormat="1" applyFont="1" applyFill="1" applyAlignment="1">
      <alignment horizontal="center" vertical="center"/>
    </xf>
    <xf numFmtId="0" fontId="105" fillId="12" borderId="0" xfId="0" applyFont="1" applyFill="1" applyAlignment="1">
      <alignment horizontal="center" vertical="center"/>
    </xf>
    <xf numFmtId="0" fontId="105" fillId="12" borderId="0" xfId="0" applyFont="1" applyFill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2" fontId="5" fillId="10" borderId="28" xfId="6" applyNumberFormat="1" applyFont="1" applyFill="1" applyBorder="1" applyAlignment="1">
      <alignment horizontal="left" vertical="center"/>
    </xf>
    <xf numFmtId="42" fontId="5" fillId="10" borderId="17" xfId="6" applyNumberFormat="1" applyFont="1" applyFill="1" applyBorder="1" applyAlignment="1">
      <alignment horizontal="left" vertical="center"/>
    </xf>
    <xf numFmtId="177" fontId="44" fillId="8" borderId="21" xfId="0" applyNumberFormat="1" applyFont="1" applyFill="1" applyBorder="1" applyAlignment="1" applyProtection="1">
      <alignment horizontal="center" vertical="center"/>
      <protection locked="0"/>
    </xf>
    <xf numFmtId="3" fontId="14" fillId="0" borderId="8" xfId="0" applyNumberFormat="1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23" fillId="0" borderId="39" xfId="0" applyFont="1" applyBorder="1" applyAlignment="1" applyProtection="1">
      <alignment horizontal="center" vertical="center"/>
      <protection locked="0"/>
    </xf>
    <xf numFmtId="2" fontId="16" fillId="0" borderId="39" xfId="0" applyNumberFormat="1" applyFont="1" applyBorder="1" applyAlignment="1">
      <alignment horizontal="center" vertical="center"/>
    </xf>
    <xf numFmtId="2" fontId="16" fillId="8" borderId="39" xfId="0" applyNumberFormat="1" applyFont="1" applyFill="1" applyBorder="1" applyAlignment="1">
      <alignment horizontal="center" vertical="center"/>
    </xf>
    <xf numFmtId="0" fontId="16" fillId="11" borderId="5" xfId="0" applyFont="1" applyFill="1" applyBorder="1" applyAlignment="1" applyProtection="1">
      <alignment vertical="center"/>
      <protection locked="0"/>
    </xf>
    <xf numFmtId="42" fontId="45" fillId="11" borderId="4" xfId="0" applyNumberFormat="1" applyFont="1" applyFill="1" applyBorder="1" applyAlignment="1">
      <alignment horizontal="center" vertical="center"/>
    </xf>
    <xf numFmtId="42" fontId="45" fillId="11" borderId="5" xfId="0" applyNumberFormat="1" applyFont="1" applyFill="1" applyBorder="1" applyAlignment="1">
      <alignment horizontal="center" vertical="center"/>
    </xf>
    <xf numFmtId="42" fontId="44" fillId="11" borderId="5" xfId="0" applyNumberFormat="1" applyFont="1" applyFill="1" applyBorder="1" applyAlignment="1">
      <alignment horizontal="left" vertical="center"/>
    </xf>
    <xf numFmtId="42" fontId="44" fillId="11" borderId="73" xfId="0" applyNumberFormat="1" applyFont="1" applyFill="1" applyBorder="1" applyAlignment="1">
      <alignment horizontal="left" vertical="center"/>
    </xf>
    <xf numFmtId="42" fontId="44" fillId="11" borderId="4" xfId="0" applyNumberFormat="1" applyFont="1" applyFill="1" applyBorder="1" applyAlignment="1">
      <alignment horizontal="left" vertical="center"/>
    </xf>
    <xf numFmtId="42" fontId="44" fillId="11" borderId="84" xfId="0" applyNumberFormat="1" applyFont="1" applyFill="1" applyBorder="1" applyAlignment="1">
      <alignment horizontal="left" vertical="center"/>
    </xf>
    <xf numFmtId="42" fontId="45" fillId="11" borderId="6" xfId="0" applyNumberFormat="1" applyFont="1" applyFill="1" applyBorder="1" applyAlignment="1">
      <alignment horizontal="center" vertical="center"/>
    </xf>
    <xf numFmtId="42" fontId="14" fillId="8" borderId="0" xfId="0" applyNumberFormat="1" applyFont="1" applyFill="1" applyAlignment="1">
      <alignment vertical="center"/>
    </xf>
    <xf numFmtId="0" fontId="100" fillId="0" borderId="0" xfId="0" applyFont="1" applyAlignment="1" applyProtection="1">
      <alignment vertical="center"/>
      <protection locked="0"/>
    </xf>
    <xf numFmtId="0" fontId="23" fillId="11" borderId="51" xfId="0" applyFont="1" applyFill="1" applyBorder="1" applyAlignment="1" applyProtection="1">
      <alignment horizontal="center" vertical="center"/>
      <protection locked="0"/>
    </xf>
    <xf numFmtId="6" fontId="14" fillId="0" borderId="9" xfId="2" applyNumberFormat="1" applyFont="1" applyBorder="1" applyAlignment="1" applyProtection="1">
      <alignment horizontal="center" vertical="center"/>
      <protection locked="0"/>
    </xf>
    <xf numFmtId="6" fontId="14" fillId="0" borderId="9" xfId="2" applyNumberFormat="1" applyFont="1" applyBorder="1" applyAlignment="1" applyProtection="1">
      <alignment horizontal="center" vertical="center"/>
    </xf>
    <xf numFmtId="3" fontId="14" fillId="0" borderId="9" xfId="0" applyNumberFormat="1" applyFont="1" applyBorder="1" applyAlignment="1" applyProtection="1">
      <alignment horizontal="center" vertical="center"/>
      <protection locked="0"/>
    </xf>
    <xf numFmtId="3" fontId="16" fillId="10" borderId="10" xfId="0" applyNumberFormat="1" applyFont="1" applyFill="1" applyBorder="1" applyAlignment="1" applyProtection="1">
      <alignment horizontal="center" vertical="center"/>
      <protection locked="0"/>
    </xf>
    <xf numFmtId="6" fontId="14" fillId="0" borderId="8" xfId="2" applyNumberFormat="1" applyFont="1" applyBorder="1" applyAlignment="1" applyProtection="1">
      <alignment horizontal="center" vertical="center"/>
    </xf>
    <xf numFmtId="3" fontId="16" fillId="10" borderId="17" xfId="0" applyNumberFormat="1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182" fontId="104" fillId="0" borderId="0" xfId="6" applyNumberFormat="1" applyFont="1" applyAlignment="1">
      <alignment horizontal="right" vertical="center"/>
    </xf>
    <xf numFmtId="0" fontId="103" fillId="0" borderId="0" xfId="0" applyFont="1" applyAlignment="1">
      <alignment vertical="center"/>
    </xf>
    <xf numFmtId="0" fontId="103" fillId="0" borderId="53" xfId="0" applyFont="1" applyBorder="1" applyAlignment="1">
      <alignment vertical="center"/>
    </xf>
    <xf numFmtId="167" fontId="5" fillId="9" borderId="31" xfId="3" applyNumberFormat="1" applyFont="1" applyFill="1" applyBorder="1" applyAlignment="1">
      <alignment horizontal="center" vertical="center"/>
    </xf>
    <xf numFmtId="178" fontId="44" fillId="8" borderId="0" xfId="0" applyNumberFormat="1" applyFont="1" applyFill="1" applyAlignment="1" applyProtection="1">
      <alignment horizontal="right" vertical="center"/>
      <protection locked="0"/>
    </xf>
    <xf numFmtId="177" fontId="44" fillId="0" borderId="0" xfId="0" applyNumberFormat="1" applyFont="1" applyAlignment="1" applyProtection="1">
      <alignment horizontal="center" vertical="center"/>
      <protection locked="0"/>
    </xf>
    <xf numFmtId="179" fontId="44" fillId="0" borderId="0" xfId="0" applyNumberFormat="1" applyFont="1" applyAlignment="1" applyProtection="1">
      <alignment horizontal="left" vertical="center"/>
      <protection locked="0"/>
    </xf>
    <xf numFmtId="177" fontId="44" fillId="8" borderId="0" xfId="0" applyNumberFormat="1" applyFont="1" applyFill="1" applyAlignment="1" applyProtection="1">
      <alignment horizontal="center" vertical="center"/>
      <protection locked="0"/>
    </xf>
    <xf numFmtId="0" fontId="16" fillId="11" borderId="6" xfId="0" applyFont="1" applyFill="1" applyBorder="1" applyAlignment="1" applyProtection="1">
      <alignment vertical="center"/>
      <protection locked="0"/>
    </xf>
    <xf numFmtId="0" fontId="16" fillId="9" borderId="1" xfId="0" applyFont="1" applyFill="1" applyBorder="1" applyAlignment="1">
      <alignment horizontal="center" vertical="center"/>
    </xf>
    <xf numFmtId="0" fontId="19" fillId="11" borderId="10" xfId="0" applyFont="1" applyFill="1" applyBorder="1" applyAlignment="1" applyProtection="1">
      <alignment horizontal="center" vertical="center"/>
      <protection locked="0"/>
    </xf>
    <xf numFmtId="0" fontId="19" fillId="11" borderId="11" xfId="0" applyFont="1" applyFill="1" applyBorder="1" applyAlignment="1" applyProtection="1">
      <alignment horizontal="center" vertical="center"/>
      <protection locked="0"/>
    </xf>
    <xf numFmtId="9" fontId="19" fillId="0" borderId="10" xfId="3" applyFont="1" applyBorder="1" applyAlignment="1" applyProtection="1">
      <alignment horizontal="center" vertical="center"/>
      <protection locked="0"/>
    </xf>
    <xf numFmtId="9" fontId="19" fillId="0" borderId="11" xfId="3" applyFont="1" applyBorder="1" applyAlignment="1" applyProtection="1">
      <alignment horizontal="center" vertical="center"/>
      <protection locked="0"/>
    </xf>
    <xf numFmtId="6" fontId="14" fillId="8" borderId="8" xfId="2" applyNumberFormat="1" applyFont="1" applyFill="1" applyBorder="1" applyAlignment="1" applyProtection="1">
      <alignment horizontal="center" vertical="center"/>
      <protection locked="0"/>
    </xf>
    <xf numFmtId="167" fontId="20" fillId="0" borderId="76" xfId="2" applyNumberFormat="1" applyFont="1" applyBorder="1" applyAlignment="1" applyProtection="1">
      <alignment horizontal="center" vertical="center"/>
    </xf>
    <xf numFmtId="0" fontId="108" fillId="9" borderId="69" xfId="0" applyFont="1" applyFill="1" applyBorder="1" applyAlignment="1">
      <alignment horizontal="left"/>
    </xf>
    <xf numFmtId="0" fontId="92" fillId="10" borderId="35" xfId="0" applyFont="1" applyFill="1" applyBorder="1" applyAlignment="1">
      <alignment horizontal="right" vertical="center"/>
    </xf>
    <xf numFmtId="0" fontId="93" fillId="10" borderId="49" xfId="0" applyFont="1" applyFill="1" applyBorder="1" applyAlignment="1">
      <alignment vertical="center"/>
    </xf>
    <xf numFmtId="164" fontId="94" fillId="8" borderId="17" xfId="2" applyNumberFormat="1" applyFont="1" applyFill="1" applyBorder="1" applyAlignment="1">
      <alignment horizontal="center" vertical="center"/>
    </xf>
    <xf numFmtId="164" fontId="94" fillId="8" borderId="19" xfId="2" applyNumberFormat="1" applyFont="1" applyFill="1" applyBorder="1" applyAlignment="1">
      <alignment horizontal="center" vertical="center"/>
    </xf>
    <xf numFmtId="0" fontId="94" fillId="10" borderId="21" xfId="0" applyFont="1" applyFill="1" applyBorder="1" applyAlignment="1">
      <alignment vertical="center"/>
    </xf>
    <xf numFmtId="0" fontId="95" fillId="10" borderId="47" xfId="0" applyFont="1" applyFill="1" applyBorder="1" applyAlignment="1">
      <alignment horizontal="right" vertical="center"/>
    </xf>
    <xf numFmtId="164" fontId="96" fillId="8" borderId="17" xfId="2" applyNumberFormat="1" applyFont="1" applyFill="1" applyBorder="1" applyAlignment="1">
      <alignment horizontal="center" vertical="center"/>
    </xf>
    <xf numFmtId="164" fontId="96" fillId="8" borderId="19" xfId="2" applyNumberFormat="1" applyFont="1" applyFill="1" applyBorder="1" applyAlignment="1">
      <alignment horizontal="center" vertical="center"/>
    </xf>
    <xf numFmtId="17" fontId="97" fillId="8" borderId="20" xfId="0" applyNumberFormat="1" applyFont="1" applyFill="1" applyBorder="1" applyAlignment="1">
      <alignment horizontal="center"/>
    </xf>
    <xf numFmtId="164" fontId="98" fillId="8" borderId="17" xfId="2" applyNumberFormat="1" applyFont="1" applyFill="1" applyBorder="1"/>
    <xf numFmtId="164" fontId="97" fillId="8" borderId="17" xfId="2" applyNumberFormat="1" applyFont="1" applyFill="1" applyBorder="1"/>
    <xf numFmtId="17" fontId="4" fillId="8" borderId="50" xfId="0" applyNumberFormat="1" applyFont="1" applyFill="1" applyBorder="1" applyAlignment="1">
      <alignment horizontal="center"/>
    </xf>
    <xf numFmtId="164" fontId="98" fillId="8" borderId="31" xfId="2" applyNumberFormat="1" applyFont="1" applyFill="1" applyBorder="1"/>
    <xf numFmtId="164" fontId="97" fillId="8" borderId="31" xfId="2" applyNumberFormat="1" applyFont="1" applyFill="1" applyBorder="1"/>
    <xf numFmtId="42" fontId="16" fillId="10" borderId="63" xfId="0" applyNumberFormat="1" applyFont="1" applyFill="1" applyBorder="1" applyAlignment="1" applyProtection="1">
      <alignment vertical="center"/>
      <protection locked="0"/>
    </xf>
    <xf numFmtId="164" fontId="16" fillId="10" borderId="63" xfId="0" applyNumberFormat="1" applyFont="1" applyFill="1" applyBorder="1" applyAlignment="1" applyProtection="1">
      <alignment vertical="center"/>
      <protection locked="0"/>
    </xf>
    <xf numFmtId="42" fontId="16" fillId="10" borderId="64" xfId="0" applyNumberFormat="1" applyFont="1" applyFill="1" applyBorder="1" applyAlignment="1" applyProtection="1">
      <alignment vertical="center"/>
      <protection locked="0"/>
    </xf>
    <xf numFmtId="0" fontId="99" fillId="0" borderId="0" xfId="0" applyFont="1" applyAlignment="1" applyProtection="1">
      <alignment horizontal="center" vertical="center"/>
      <protection locked="0"/>
    </xf>
    <xf numFmtId="165" fontId="45" fillId="9" borderId="60" xfId="0" applyNumberFormat="1" applyFont="1" applyFill="1" applyBorder="1" applyAlignment="1" applyProtection="1">
      <alignment horizontal="center" vertical="center"/>
      <protection locked="0"/>
    </xf>
    <xf numFmtId="3" fontId="15" fillId="0" borderId="84" xfId="0" applyNumberFormat="1" applyFont="1" applyBorder="1" applyAlignment="1" applyProtection="1">
      <alignment horizontal="center" vertical="center"/>
      <protection locked="0"/>
    </xf>
    <xf numFmtId="41" fontId="15" fillId="0" borderId="64" xfId="0" applyNumberFormat="1" applyFont="1" applyBorder="1" applyAlignment="1" applyProtection="1">
      <alignment vertical="center"/>
      <protection locked="0"/>
    </xf>
    <xf numFmtId="41" fontId="15" fillId="0" borderId="57" xfId="0" applyNumberFormat="1" applyFont="1" applyBorder="1" applyAlignment="1" applyProtection="1">
      <alignment vertical="center"/>
      <protection locked="0"/>
    </xf>
    <xf numFmtId="42" fontId="15" fillId="0" borderId="58" xfId="0" applyNumberFormat="1" applyFont="1" applyBorder="1" applyAlignment="1" applyProtection="1">
      <alignment vertical="center"/>
      <protection locked="0"/>
    </xf>
    <xf numFmtId="42" fontId="15" fillId="0" borderId="59" xfId="0" applyNumberFormat="1" applyFont="1" applyBorder="1" applyAlignment="1" applyProtection="1">
      <alignment vertical="center"/>
      <protection locked="0"/>
    </xf>
    <xf numFmtId="42" fontId="17" fillId="10" borderId="63" xfId="0" applyNumberFormat="1" applyFont="1" applyFill="1" applyBorder="1" applyAlignment="1">
      <alignment vertical="center"/>
    </xf>
    <xf numFmtId="42" fontId="17" fillId="10" borderId="64" xfId="0" applyNumberFormat="1" applyFont="1" applyFill="1" applyBorder="1" applyAlignment="1">
      <alignment vertical="center"/>
    </xf>
    <xf numFmtId="42" fontId="14" fillId="8" borderId="64" xfId="0" applyNumberFormat="1" applyFont="1" applyFill="1" applyBorder="1" applyAlignment="1">
      <alignment vertical="center"/>
    </xf>
    <xf numFmtId="168" fontId="16" fillId="0" borderId="6" xfId="6" applyNumberFormat="1" applyFont="1" applyBorder="1" applyAlignment="1">
      <alignment vertical="center"/>
    </xf>
    <xf numFmtId="5" fontId="18" fillId="0" borderId="70" xfId="6" applyNumberFormat="1" applyFont="1" applyBorder="1" applyAlignment="1">
      <alignment horizontal="center" vertical="center"/>
    </xf>
    <xf numFmtId="167" fontId="18" fillId="0" borderId="38" xfId="3" applyNumberFormat="1" applyFont="1" applyFill="1" applyBorder="1" applyAlignment="1">
      <alignment horizontal="center" vertical="center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9" fontId="39" fillId="11" borderId="17" xfId="3" applyFont="1" applyFill="1" applyBorder="1" applyAlignment="1" applyProtection="1">
      <alignment horizontal="center" vertical="center"/>
    </xf>
    <xf numFmtId="9" fontId="38" fillId="0" borderId="76" xfId="3" applyFont="1" applyBorder="1" applyAlignment="1" applyProtection="1">
      <alignment horizontal="center" vertical="center"/>
    </xf>
    <xf numFmtId="0" fontId="41" fillId="9" borderId="17" xfId="0" applyFont="1" applyFill="1" applyBorder="1" applyAlignment="1" applyProtection="1">
      <alignment horizontal="center" vertical="center"/>
      <protection locked="0"/>
    </xf>
    <xf numFmtId="0" fontId="107" fillId="9" borderId="1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7" fontId="4" fillId="0" borderId="13" xfId="3" applyNumberFormat="1" applyFont="1" applyBorder="1" applyAlignment="1" applyProtection="1">
      <alignment horizontal="center" vertical="center"/>
    </xf>
    <xf numFmtId="167" fontId="4" fillId="0" borderId="15" xfId="3" applyNumberFormat="1" applyFont="1" applyBorder="1" applyAlignment="1" applyProtection="1">
      <alignment horizontal="center" vertical="center"/>
    </xf>
    <xf numFmtId="167" fontId="4" fillId="0" borderId="19" xfId="3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167" fontId="4" fillId="0" borderId="17" xfId="3" applyNumberFormat="1" applyFont="1" applyBorder="1" applyAlignment="1" applyProtection="1">
      <alignment horizontal="center" vertical="center"/>
    </xf>
    <xf numFmtId="167" fontId="4" fillId="0" borderId="18" xfId="3" applyNumberFormat="1" applyFont="1" applyBorder="1" applyAlignment="1" applyProtection="1">
      <alignment horizontal="center" vertical="center"/>
    </xf>
    <xf numFmtId="167" fontId="4" fillId="0" borderId="86" xfId="3" applyNumberFormat="1" applyFont="1" applyBorder="1" applyAlignment="1" applyProtection="1">
      <alignment horizontal="center" vertical="center"/>
    </xf>
    <xf numFmtId="42" fontId="4" fillId="0" borderId="0" xfId="1" applyNumberFormat="1" applyFont="1" applyAlignment="1" applyProtection="1">
      <alignment horizontal="left" vertical="center"/>
      <protection locked="0"/>
    </xf>
    <xf numFmtId="42" fontId="4" fillId="0" borderId="13" xfId="1" applyNumberFormat="1" applyFont="1" applyBorder="1" applyAlignment="1" applyProtection="1">
      <alignment horizontal="left" vertical="center"/>
      <protection locked="0"/>
    </xf>
    <xf numFmtId="42" fontId="4" fillId="0" borderId="17" xfId="1" applyNumberFormat="1" applyFont="1" applyBorder="1" applyAlignment="1" applyProtection="1">
      <alignment horizontal="left" vertical="center"/>
      <protection locked="0"/>
    </xf>
    <xf numFmtId="42" fontId="4" fillId="8" borderId="18" xfId="1" applyNumberFormat="1" applyFont="1" applyFill="1" applyBorder="1" applyAlignment="1" applyProtection="1">
      <alignment horizontal="left" vertical="center"/>
      <protection locked="0"/>
    </xf>
    <xf numFmtId="42" fontId="4" fillId="0" borderId="0" xfId="0" applyNumberFormat="1" applyFont="1" applyAlignment="1" applyProtection="1">
      <alignment horizontal="left" vertical="center"/>
      <protection locked="0"/>
    </xf>
    <xf numFmtId="42" fontId="4" fillId="8" borderId="18" xfId="0" applyNumberFormat="1" applyFont="1" applyFill="1" applyBorder="1" applyAlignment="1" applyProtection="1">
      <alignment horizontal="left" vertical="center"/>
      <protection locked="0"/>
    </xf>
    <xf numFmtId="42" fontId="4" fillId="0" borderId="13" xfId="0" applyNumberFormat="1" applyFont="1" applyBorder="1" applyAlignment="1">
      <alignment horizontal="left" vertical="center" wrapText="1"/>
    </xf>
    <xf numFmtId="42" fontId="4" fillId="0" borderId="17" xfId="0" applyNumberFormat="1" applyFont="1" applyBorder="1" applyAlignment="1">
      <alignment horizontal="left" vertical="center" wrapText="1"/>
    </xf>
    <xf numFmtId="42" fontId="4" fillId="0" borderId="13" xfId="1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167" fontId="4" fillId="0" borderId="0" xfId="0" applyNumberFormat="1" applyFont="1" applyAlignment="1" applyProtection="1">
      <alignment horizontal="center" vertical="center"/>
      <protection locked="0"/>
    </xf>
    <xf numFmtId="167" fontId="4" fillId="0" borderId="0" xfId="3" applyNumberFormat="1" applyFont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4" fillId="8" borderId="34" xfId="0" applyFont="1" applyFill="1" applyBorder="1" applyAlignment="1" applyProtection="1">
      <alignment vertical="center"/>
      <protection locked="0"/>
    </xf>
    <xf numFmtId="42" fontId="4" fillId="0" borderId="46" xfId="1" applyNumberFormat="1" applyFont="1" applyBorder="1" applyAlignment="1" applyProtection="1">
      <alignment horizontal="left" vertical="center"/>
      <protection locked="0"/>
    </xf>
    <xf numFmtId="42" fontId="4" fillId="0" borderId="20" xfId="1" applyNumberFormat="1" applyFont="1" applyBorder="1" applyAlignment="1" applyProtection="1">
      <alignment horizontal="left" vertical="center"/>
      <protection locked="0"/>
    </xf>
    <xf numFmtId="42" fontId="4" fillId="8" borderId="48" xfId="1" applyNumberFormat="1" applyFont="1" applyFill="1" applyBorder="1" applyAlignment="1" applyProtection="1">
      <alignment horizontal="left" vertical="center"/>
      <protection locked="0"/>
    </xf>
    <xf numFmtId="164" fontId="4" fillId="0" borderId="46" xfId="0" applyNumberFormat="1" applyFont="1" applyBorder="1" applyAlignment="1" applyProtection="1">
      <alignment horizontal="center" vertical="center"/>
      <protection locked="0"/>
    </xf>
    <xf numFmtId="164" fontId="4" fillId="0" borderId="20" xfId="0" applyNumberFormat="1" applyFont="1" applyBorder="1" applyAlignment="1" applyProtection="1">
      <alignment horizontal="center" vertical="center"/>
      <protection locked="0"/>
    </xf>
    <xf numFmtId="164" fontId="4" fillId="8" borderId="48" xfId="0" applyNumberFormat="1" applyFont="1" applyFill="1" applyBorder="1" applyAlignment="1" applyProtection="1">
      <alignment horizontal="center" vertical="center"/>
      <protection locked="0"/>
    </xf>
    <xf numFmtId="42" fontId="4" fillId="0" borderId="17" xfId="1" applyNumberFormat="1" applyFont="1" applyBorder="1" applyAlignment="1" applyProtection="1">
      <alignment horizontal="left" vertical="center"/>
    </xf>
    <xf numFmtId="42" fontId="4" fillId="0" borderId="18" xfId="1" applyNumberFormat="1" applyFont="1" applyBorder="1" applyAlignment="1" applyProtection="1">
      <alignment horizontal="left" vertical="center"/>
    </xf>
    <xf numFmtId="42" fontId="4" fillId="8" borderId="13" xfId="2" applyNumberFormat="1" applyFont="1" applyFill="1" applyBorder="1" applyAlignment="1" applyProtection="1">
      <alignment horizontal="left" vertical="center"/>
    </xf>
    <xf numFmtId="42" fontId="4" fillId="8" borderId="18" xfId="0" applyNumberFormat="1" applyFont="1" applyFill="1" applyBorder="1" applyAlignment="1">
      <alignment horizontal="left" vertical="center"/>
    </xf>
    <xf numFmtId="167" fontId="4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56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>
      <alignment horizontal="left" vertical="center"/>
    </xf>
    <xf numFmtId="0" fontId="5" fillId="10" borderId="36" xfId="0" applyFont="1" applyFill="1" applyBorder="1" applyAlignment="1">
      <alignment horizontal="left" vertical="center"/>
    </xf>
    <xf numFmtId="10" fontId="4" fillId="0" borderId="0" xfId="0" applyNumberFormat="1" applyFont="1" applyAlignment="1">
      <alignment horizontal="center" vertical="center"/>
    </xf>
    <xf numFmtId="10" fontId="4" fillId="0" borderId="6" xfId="2" applyNumberFormat="1" applyFont="1" applyBorder="1" applyAlignment="1" applyProtection="1">
      <alignment horizontal="center" vertical="center"/>
      <protection locked="0"/>
    </xf>
    <xf numFmtId="10" fontId="4" fillId="0" borderId="70" xfId="0" applyNumberFormat="1" applyFont="1" applyBorder="1" applyAlignment="1">
      <alignment horizontal="center" vertical="center"/>
    </xf>
    <xf numFmtId="42" fontId="4" fillId="0" borderId="0" xfId="0" applyNumberFormat="1" applyFont="1" applyAlignment="1">
      <alignment horizontal="left" vertical="center"/>
    </xf>
    <xf numFmtId="42" fontId="4" fillId="0" borderId="5" xfId="2" applyNumberFormat="1" applyFont="1" applyBorder="1" applyAlignment="1" applyProtection="1">
      <alignment horizontal="left" vertical="center"/>
      <protection locked="0"/>
    </xf>
    <xf numFmtId="42" fontId="4" fillId="0" borderId="30" xfId="0" applyNumberFormat="1" applyFont="1" applyBorder="1" applyAlignment="1">
      <alignment horizontal="left" vertical="center"/>
    </xf>
    <xf numFmtId="42" fontId="5" fillId="10" borderId="37" xfId="0" applyNumberFormat="1" applyFont="1" applyFill="1" applyBorder="1" applyAlignment="1">
      <alignment horizontal="left" vertical="center"/>
    </xf>
    <xf numFmtId="10" fontId="5" fillId="10" borderId="38" xfId="0" quotePrefix="1" applyNumberFormat="1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 applyProtection="1">
      <alignment horizontal="center" vertical="center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167" fontId="37" fillId="10" borderId="11" xfId="0" applyNumberFormat="1" applyFont="1" applyFill="1" applyBorder="1" applyAlignment="1">
      <alignment horizontal="center" vertical="center"/>
    </xf>
    <xf numFmtId="167" fontId="20" fillId="0" borderId="22" xfId="2" applyNumberFormat="1" applyFont="1" applyBorder="1" applyAlignment="1" applyProtection="1">
      <alignment horizontal="center" vertical="center"/>
    </xf>
    <xf numFmtId="189" fontId="14" fillId="0" borderId="8" xfId="0" applyNumberFormat="1" applyFont="1" applyBorder="1" applyAlignment="1">
      <alignment horizontal="center" vertical="center"/>
    </xf>
    <xf numFmtId="189" fontId="14" fillId="0" borderId="9" xfId="0" applyNumberFormat="1" applyFont="1" applyBorder="1" applyAlignment="1">
      <alignment horizontal="center" vertical="center"/>
    </xf>
    <xf numFmtId="167" fontId="20" fillId="0" borderId="65" xfId="2" applyNumberFormat="1" applyFont="1" applyBorder="1" applyAlignment="1" applyProtection="1">
      <alignment horizontal="center" vertical="center"/>
    </xf>
    <xf numFmtId="167" fontId="20" fillId="0" borderId="54" xfId="2" applyNumberFormat="1" applyFont="1" applyBorder="1" applyAlignment="1" applyProtection="1">
      <alignment horizontal="center" vertical="center"/>
    </xf>
    <xf numFmtId="3" fontId="16" fillId="10" borderId="17" xfId="0" applyNumberFormat="1" applyFont="1" applyFill="1" applyBorder="1" applyAlignment="1">
      <alignment horizontal="center" vertical="center"/>
    </xf>
    <xf numFmtId="3" fontId="16" fillId="10" borderId="10" xfId="0" applyNumberFormat="1" applyFont="1" applyFill="1" applyBorder="1" applyAlignment="1">
      <alignment horizontal="center" vertical="center"/>
    </xf>
    <xf numFmtId="167" fontId="37" fillId="10" borderId="11" xfId="2" applyNumberFormat="1" applyFont="1" applyFill="1" applyBorder="1" applyAlignment="1" applyProtection="1">
      <alignment horizontal="center" vertical="center"/>
    </xf>
    <xf numFmtId="167" fontId="14" fillId="0" borderId="8" xfId="0" applyNumberFormat="1" applyFont="1" applyBorder="1" applyAlignment="1">
      <alignment horizontal="center" vertical="center"/>
    </xf>
    <xf numFmtId="167" fontId="14" fillId="0" borderId="9" xfId="0" applyNumberFormat="1" applyFont="1" applyBorder="1" applyAlignment="1">
      <alignment horizontal="center" vertical="center"/>
    </xf>
    <xf numFmtId="167" fontId="37" fillId="10" borderId="70" xfId="2" applyNumberFormat="1" applyFont="1" applyFill="1" applyBorder="1" applyAlignment="1" applyProtection="1">
      <alignment horizontal="center" vertical="center"/>
    </xf>
    <xf numFmtId="167" fontId="37" fillId="10" borderId="70" xfId="0" applyNumberFormat="1" applyFont="1" applyFill="1" applyBorder="1" applyAlignment="1">
      <alignment horizontal="center" vertical="center"/>
    </xf>
    <xf numFmtId="6" fontId="16" fillId="0" borderId="7" xfId="0" applyNumberFormat="1" applyFont="1" applyBorder="1" applyAlignment="1">
      <alignment horizontal="left" vertical="center"/>
    </xf>
    <xf numFmtId="0" fontId="16" fillId="10" borderId="16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vertical="center"/>
    </xf>
    <xf numFmtId="0" fontId="16" fillId="0" borderId="52" xfId="0" applyFont="1" applyBorder="1" applyAlignment="1">
      <alignment vertical="center"/>
    </xf>
    <xf numFmtId="0" fontId="16" fillId="9" borderId="13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center" vertical="center"/>
    </xf>
    <xf numFmtId="0" fontId="16" fillId="9" borderId="47" xfId="0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0" fontId="16" fillId="11" borderId="66" xfId="0" applyFont="1" applyFill="1" applyBorder="1" applyAlignment="1">
      <alignment horizontal="center" vertical="center"/>
    </xf>
    <xf numFmtId="0" fontId="16" fillId="9" borderId="25" xfId="0" applyFont="1" applyFill="1" applyBorder="1" applyAlignment="1">
      <alignment horizontal="center" vertical="center"/>
    </xf>
    <xf numFmtId="167" fontId="14" fillId="0" borderId="0" xfId="0" applyNumberFormat="1" applyFont="1" applyAlignment="1">
      <alignment horizontal="center" vertical="center"/>
    </xf>
    <xf numFmtId="167" fontId="1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6" fontId="16" fillId="0" borderId="0" xfId="0" applyNumberFormat="1" applyFont="1" applyAlignment="1">
      <alignment vertical="center"/>
    </xf>
    <xf numFmtId="0" fontId="20" fillId="8" borderId="0" xfId="0" applyFont="1" applyFill="1" applyAlignment="1" applyProtection="1">
      <alignment horizontal="right"/>
      <protection locked="0"/>
    </xf>
    <xf numFmtId="0" fontId="20" fillId="8" borderId="0" xfId="0" applyFont="1" applyFill="1" applyProtection="1">
      <protection locked="0"/>
    </xf>
    <xf numFmtId="0" fontId="20" fillId="8" borderId="0" xfId="0" applyFont="1" applyFill="1" applyAlignment="1" applyProtection="1">
      <alignment horizontal="center"/>
      <protection locked="0"/>
    </xf>
    <xf numFmtId="0" fontId="16" fillId="9" borderId="39" xfId="0" applyFont="1" applyFill="1" applyBorder="1" applyAlignment="1">
      <alignment horizontal="center" vertical="center"/>
    </xf>
    <xf numFmtId="0" fontId="16" fillId="9" borderId="61" xfId="0" applyFont="1" applyFill="1" applyBorder="1" applyAlignment="1">
      <alignment horizontal="center" vertical="center"/>
    </xf>
    <xf numFmtId="0" fontId="16" fillId="9" borderId="21" xfId="0" applyFont="1" applyFill="1" applyBorder="1" applyAlignment="1">
      <alignment horizontal="center" vertical="center"/>
    </xf>
    <xf numFmtId="0" fontId="16" fillId="9" borderId="66" xfId="0" applyFont="1" applyFill="1" applyBorder="1" applyAlignment="1">
      <alignment horizontal="center" vertical="center"/>
    </xf>
    <xf numFmtId="0" fontId="14" fillId="0" borderId="25" xfId="0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>
      <alignment horizontal="center" vertical="center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166" fontId="14" fillId="0" borderId="0" xfId="1" applyNumberFormat="1" applyFont="1" applyAlignment="1" applyProtection="1">
      <alignment vertical="center"/>
      <protection locked="0"/>
    </xf>
    <xf numFmtId="0" fontId="14" fillId="0" borderId="16" xfId="0" applyFont="1" applyBorder="1" applyAlignment="1" applyProtection="1">
      <alignment vertical="center"/>
      <protection locked="0"/>
    </xf>
    <xf numFmtId="0" fontId="14" fillId="0" borderId="17" xfId="0" applyFont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>
      <alignment horizontal="center" vertical="center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6" fontId="14" fillId="0" borderId="0" xfId="1" applyNumberFormat="1" applyFont="1" applyBorder="1" applyAlignment="1" applyProtection="1">
      <alignment vertical="center"/>
      <protection locked="0"/>
    </xf>
    <xf numFmtId="0" fontId="16" fillId="11" borderId="26" xfId="0" applyFont="1" applyFill="1" applyBorder="1" applyAlignment="1">
      <alignment horizontal="center" vertical="center"/>
    </xf>
    <xf numFmtId="0" fontId="16" fillId="11" borderId="44" xfId="0" applyFont="1" applyFill="1" applyBorder="1" applyAlignment="1">
      <alignment horizontal="center" vertical="center"/>
    </xf>
    <xf numFmtId="0" fontId="16" fillId="11" borderId="43" xfId="0" applyFont="1" applyFill="1" applyBorder="1" applyAlignment="1">
      <alignment horizontal="center" vertical="center"/>
    </xf>
    <xf numFmtId="0" fontId="16" fillId="11" borderId="45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6" fillId="11" borderId="72" xfId="0" applyFont="1" applyFill="1" applyBorder="1" applyAlignment="1">
      <alignment horizontal="center" vertical="center"/>
    </xf>
    <xf numFmtId="0" fontId="16" fillId="11" borderId="63" xfId="0" applyFont="1" applyFill="1" applyBorder="1" applyAlignment="1">
      <alignment horizontal="center" vertical="center"/>
    </xf>
    <xf numFmtId="166" fontId="16" fillId="0" borderId="0" xfId="1" applyNumberFormat="1" applyFont="1" applyAlignment="1" applyProtection="1">
      <alignment vertical="center"/>
      <protection locked="0"/>
    </xf>
    <xf numFmtId="0" fontId="37" fillId="10" borderId="42" xfId="0" applyFont="1" applyFill="1" applyBorder="1" applyAlignment="1">
      <alignment horizontal="center" vertical="center"/>
    </xf>
    <xf numFmtId="0" fontId="37" fillId="10" borderId="43" xfId="0" applyFont="1" applyFill="1" applyBorder="1" applyAlignment="1">
      <alignment horizontal="center" vertical="center"/>
    </xf>
    <xf numFmtId="167" fontId="20" fillId="10" borderId="44" xfId="3" applyNumberFormat="1" applyFont="1" applyFill="1" applyBorder="1" applyAlignment="1" applyProtection="1">
      <alignment horizontal="center" vertical="center"/>
    </xf>
    <xf numFmtId="167" fontId="20" fillId="10" borderId="72" xfId="3" applyNumberFormat="1" applyFont="1" applyFill="1" applyBorder="1" applyAlignment="1" applyProtection="1">
      <alignment horizontal="center" vertical="center"/>
    </xf>
    <xf numFmtId="167" fontId="20" fillId="10" borderId="42" xfId="3" applyNumberFormat="1" applyFont="1" applyFill="1" applyBorder="1" applyAlignment="1" applyProtection="1">
      <alignment horizontal="center" vertical="center"/>
    </xf>
    <xf numFmtId="167" fontId="20" fillId="10" borderId="45" xfId="3" applyNumberFormat="1" applyFont="1" applyFill="1" applyBorder="1" applyAlignment="1" applyProtection="1">
      <alignment horizontal="center" vertical="center"/>
    </xf>
    <xf numFmtId="0" fontId="37" fillId="0" borderId="0" xfId="0" applyFont="1" applyAlignment="1" applyProtection="1">
      <alignment vertical="center"/>
      <protection locked="0"/>
    </xf>
    <xf numFmtId="166" fontId="37" fillId="0" borderId="0" xfId="1" applyNumberFormat="1" applyFont="1" applyAlignment="1" applyProtection="1">
      <alignment vertical="center"/>
      <protection locked="0"/>
    </xf>
    <xf numFmtId="39" fontId="20" fillId="0" borderId="13" xfId="0" applyNumberFormat="1" applyFont="1" applyBorder="1" applyAlignment="1">
      <alignment horizontal="center" vertical="center"/>
    </xf>
    <xf numFmtId="39" fontId="20" fillId="0" borderId="14" xfId="0" applyNumberFormat="1" applyFont="1" applyBorder="1" applyAlignment="1">
      <alignment horizontal="center" vertical="center"/>
    </xf>
    <xf numFmtId="39" fontId="20" fillId="0" borderId="46" xfId="0" applyNumberFormat="1" applyFont="1" applyBorder="1" applyAlignment="1">
      <alignment horizontal="center" vertical="center"/>
    </xf>
    <xf numFmtId="39" fontId="20" fillId="0" borderId="15" xfId="0" applyNumberFormat="1" applyFont="1" applyBorder="1" applyAlignment="1">
      <alignment horizontal="center" vertical="center"/>
    </xf>
    <xf numFmtId="166" fontId="39" fillId="0" borderId="0" xfId="1" applyNumberFormat="1" applyFont="1" applyAlignment="1" applyProtection="1">
      <alignment vertical="center"/>
      <protection locked="0"/>
    </xf>
    <xf numFmtId="39" fontId="20" fillId="0" borderId="31" xfId="0" applyNumberFormat="1" applyFont="1" applyBorder="1" applyAlignment="1">
      <alignment horizontal="center" vertical="center"/>
    </xf>
    <xf numFmtId="39" fontId="20" fillId="0" borderId="32" xfId="0" applyNumberFormat="1" applyFont="1" applyBorder="1" applyAlignment="1">
      <alignment horizontal="center" vertical="center"/>
    </xf>
    <xf numFmtId="39" fontId="20" fillId="0" borderId="50" xfId="0" applyNumberFormat="1" applyFont="1" applyBorder="1" applyAlignment="1">
      <alignment horizontal="center" vertical="center"/>
    </xf>
    <xf numFmtId="39" fontId="20" fillId="0" borderId="33" xfId="0" applyNumberFormat="1" applyFont="1" applyBorder="1" applyAlignment="1">
      <alignment horizontal="center" vertical="center"/>
    </xf>
    <xf numFmtId="39" fontId="20" fillId="0" borderId="17" xfId="0" applyNumberFormat="1" applyFont="1" applyBorder="1" applyAlignment="1">
      <alignment horizontal="center" vertical="center"/>
    </xf>
    <xf numFmtId="39" fontId="20" fillId="0" borderId="19" xfId="0" applyNumberFormat="1" applyFont="1" applyBorder="1" applyAlignment="1">
      <alignment horizontal="center" vertical="center"/>
    </xf>
    <xf numFmtId="166" fontId="20" fillId="0" borderId="0" xfId="0" applyNumberFormat="1" applyFont="1" applyAlignment="1" applyProtection="1">
      <alignment vertical="center"/>
      <protection locked="0"/>
    </xf>
    <xf numFmtId="166" fontId="20" fillId="0" borderId="0" xfId="1" applyNumberFormat="1" applyFont="1" applyAlignment="1" applyProtection="1">
      <alignment vertical="center"/>
      <protection locked="0"/>
    </xf>
    <xf numFmtId="166" fontId="14" fillId="0" borderId="0" xfId="0" applyNumberFormat="1" applyFont="1" applyAlignment="1" applyProtection="1">
      <alignment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43" fontId="40" fillId="4" borderId="49" xfId="0" applyNumberFormat="1" applyFont="1" applyFill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43" fontId="40" fillId="4" borderId="47" xfId="0" applyNumberFormat="1" applyFont="1" applyFill="1" applyBorder="1" applyAlignment="1" applyProtection="1">
      <alignment horizontal="center" vertical="center"/>
      <protection locked="0"/>
    </xf>
    <xf numFmtId="9" fontId="14" fillId="0" borderId="0" xfId="3" applyFont="1" applyAlignment="1" applyProtection="1">
      <alignment horizontal="center" vertical="center"/>
      <protection locked="0"/>
    </xf>
    <xf numFmtId="9" fontId="14" fillId="0" borderId="0" xfId="3" applyFont="1" applyAlignment="1" applyProtection="1">
      <alignment vertical="center"/>
      <protection locked="0"/>
    </xf>
    <xf numFmtId="14" fontId="16" fillId="4" borderId="0" xfId="0" applyNumberFormat="1" applyFont="1" applyFill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6" fillId="11" borderId="27" xfId="0" applyFont="1" applyFill="1" applyBorder="1" applyAlignment="1">
      <alignment horizontal="center" vertical="center"/>
    </xf>
    <xf numFmtId="0" fontId="16" fillId="9" borderId="39" xfId="0" applyFont="1" applyFill="1" applyBorder="1" applyAlignment="1" applyProtection="1">
      <alignment horizontal="center" vertical="center"/>
      <protection locked="0"/>
    </xf>
    <xf numFmtId="0" fontId="16" fillId="9" borderId="61" xfId="0" applyFont="1" applyFill="1" applyBorder="1" applyAlignment="1" applyProtection="1">
      <alignment horizontal="center" vertical="center"/>
      <protection locked="0"/>
    </xf>
    <xf numFmtId="0" fontId="16" fillId="11" borderId="26" xfId="0" applyFont="1" applyFill="1" applyBorder="1" applyAlignment="1" applyProtection="1">
      <alignment horizontal="center" vertical="center"/>
      <protection locked="0"/>
    </xf>
    <xf numFmtId="0" fontId="16" fillId="11" borderId="44" xfId="0" applyFont="1" applyFill="1" applyBorder="1" applyAlignment="1" applyProtection="1">
      <alignment horizontal="center" vertical="center"/>
      <protection locked="0"/>
    </xf>
    <xf numFmtId="0" fontId="37" fillId="10" borderId="42" xfId="0" applyFont="1" applyFill="1" applyBorder="1" applyAlignment="1" applyProtection="1">
      <alignment horizontal="center" vertical="center"/>
      <protection locked="0"/>
    </xf>
    <xf numFmtId="0" fontId="37" fillId="10" borderId="43" xfId="0" applyFont="1" applyFill="1" applyBorder="1" applyAlignment="1" applyProtection="1">
      <alignment horizontal="center" vertical="center"/>
      <protection locked="0"/>
    </xf>
    <xf numFmtId="0" fontId="16" fillId="9" borderId="25" xfId="0" applyFont="1" applyFill="1" applyBorder="1" applyAlignment="1" applyProtection="1">
      <alignment horizontal="center" vertical="center"/>
      <protection locked="0"/>
    </xf>
    <xf numFmtId="0" fontId="16" fillId="9" borderId="21" xfId="0" applyFont="1" applyFill="1" applyBorder="1" applyAlignment="1" applyProtection="1">
      <alignment horizontal="center" vertical="center"/>
      <protection locked="0"/>
    </xf>
    <xf numFmtId="0" fontId="16" fillId="9" borderId="66" xfId="0" applyFont="1" applyFill="1" applyBorder="1" applyAlignment="1" applyProtection="1">
      <alignment horizontal="center" vertical="center"/>
      <protection locked="0"/>
    </xf>
    <xf numFmtId="182" fontId="15" fillId="0" borderId="0" xfId="0" applyNumberFormat="1" applyFont="1" applyAlignment="1" applyProtection="1">
      <alignment vertical="center"/>
      <protection locked="0"/>
    </xf>
    <xf numFmtId="182" fontId="17" fillId="11" borderId="1" xfId="0" applyNumberFormat="1" applyFont="1" applyFill="1" applyBorder="1" applyAlignment="1" applyProtection="1">
      <alignment vertical="center"/>
      <protection locked="0"/>
    </xf>
    <xf numFmtId="182" fontId="17" fillId="11" borderId="39" xfId="0" applyNumberFormat="1" applyFont="1" applyFill="1" applyBorder="1" applyAlignment="1" applyProtection="1">
      <alignment horizontal="center" vertical="center"/>
      <protection locked="0"/>
    </xf>
    <xf numFmtId="182" fontId="17" fillId="11" borderId="61" xfId="0" applyNumberFormat="1" applyFont="1" applyFill="1" applyBorder="1" applyAlignment="1" applyProtection="1">
      <alignment horizontal="center" vertical="center"/>
      <protection locked="0"/>
    </xf>
    <xf numFmtId="0" fontId="14" fillId="10" borderId="1" xfId="0" applyFont="1" applyFill="1" applyBorder="1" applyAlignment="1" applyProtection="1">
      <alignment vertical="center"/>
      <protection locked="0"/>
    </xf>
    <xf numFmtId="0" fontId="16" fillId="10" borderId="39" xfId="0" applyFont="1" applyFill="1" applyBorder="1" applyAlignment="1" applyProtection="1">
      <alignment horizontal="center" vertical="center"/>
      <protection locked="0"/>
    </xf>
    <xf numFmtId="182" fontId="15" fillId="0" borderId="7" xfId="0" applyNumberFormat="1" applyFont="1" applyBorder="1" applyAlignment="1" applyProtection="1">
      <alignment vertical="center"/>
      <protection locked="0"/>
    </xf>
    <xf numFmtId="182" fontId="15" fillId="16" borderId="0" xfId="0" applyNumberFormat="1" applyFont="1" applyFill="1" applyAlignment="1" applyProtection="1">
      <alignment horizontal="center" vertical="center"/>
      <protection locked="0"/>
    </xf>
    <xf numFmtId="168" fontId="15" fillId="0" borderId="0" xfId="0" applyNumberFormat="1" applyFont="1" applyAlignment="1" applyProtection="1">
      <alignment horizontal="center" vertical="center"/>
      <protection locked="0"/>
    </xf>
    <xf numFmtId="167" fontId="15" fillId="0" borderId="0" xfId="3" applyNumberFormat="1" applyFont="1" applyBorder="1" applyAlignment="1" applyProtection="1">
      <alignment horizontal="center" vertical="center"/>
    </xf>
    <xf numFmtId="167" fontId="15" fillId="0" borderId="65" xfId="3" applyNumberFormat="1" applyFont="1" applyBorder="1" applyAlignment="1" applyProtection="1">
      <alignment horizontal="center" vertical="center"/>
    </xf>
    <xf numFmtId="0" fontId="14" fillId="10" borderId="25" xfId="0" applyFont="1" applyFill="1" applyBorder="1" applyAlignment="1" applyProtection="1">
      <alignment vertical="center"/>
      <protection locked="0"/>
    </xf>
    <xf numFmtId="0" fontId="16" fillId="10" borderId="21" xfId="0" applyFont="1" applyFill="1" applyBorder="1" applyAlignment="1" applyProtection="1">
      <alignment horizontal="center" vertical="center"/>
      <protection locked="0"/>
    </xf>
    <xf numFmtId="9" fontId="16" fillId="10" borderId="21" xfId="0" applyNumberFormat="1" applyFont="1" applyFill="1" applyBorder="1" applyAlignment="1" applyProtection="1">
      <alignment horizontal="center" vertical="center"/>
      <protection locked="0"/>
    </xf>
    <xf numFmtId="9" fontId="16" fillId="10" borderId="66" xfId="0" applyNumberFormat="1" applyFont="1" applyFill="1" applyBorder="1" applyAlignment="1" applyProtection="1">
      <alignment horizontal="center" vertical="center"/>
      <protection locked="0"/>
    </xf>
    <xf numFmtId="9" fontId="109" fillId="10" borderId="84" xfId="0" applyNumberFormat="1" applyFont="1" applyFill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vertical="center"/>
      <protection locked="0"/>
    </xf>
    <xf numFmtId="182" fontId="40" fillId="0" borderId="53" xfId="0" applyNumberFormat="1" applyFont="1" applyBorder="1" applyAlignment="1" applyProtection="1">
      <alignment horizontal="center" vertical="center"/>
      <protection locked="0"/>
    </xf>
    <xf numFmtId="2" fontId="40" fillId="16" borderId="53" xfId="0" applyNumberFormat="1" applyFont="1" applyFill="1" applyBorder="1" applyAlignment="1" applyProtection="1">
      <alignment horizontal="center" vertical="center"/>
      <protection locked="0"/>
    </xf>
    <xf numFmtId="2" fontId="16" fillId="0" borderId="53" xfId="1" applyNumberFormat="1" applyFont="1" applyBorder="1" applyAlignment="1" applyProtection="1">
      <alignment horizontal="center" vertical="center"/>
    </xf>
    <xf numFmtId="2" fontId="14" fillId="0" borderId="53" xfId="0" applyNumberFormat="1" applyFont="1" applyBorder="1" applyAlignment="1">
      <alignment horizontal="center" vertical="center"/>
    </xf>
    <xf numFmtId="2" fontId="14" fillId="0" borderId="54" xfId="0" applyNumberFormat="1" applyFont="1" applyBorder="1" applyAlignment="1">
      <alignment horizontal="center" vertical="center"/>
    </xf>
    <xf numFmtId="2" fontId="14" fillId="0" borderId="62" xfId="0" applyNumberFormat="1" applyFont="1" applyBorder="1" applyAlignment="1">
      <alignment horizontal="center" vertical="center"/>
    </xf>
    <xf numFmtId="182" fontId="14" fillId="0" borderId="21" xfId="0" applyNumberFormat="1" applyFont="1" applyBorder="1" applyAlignment="1" applyProtection="1">
      <alignment horizontal="center" vertical="center"/>
      <protection locked="0"/>
    </xf>
    <xf numFmtId="0" fontId="14" fillId="16" borderId="21" xfId="0" applyFont="1" applyFill="1" applyBorder="1" applyAlignment="1" applyProtection="1">
      <alignment horizontal="center" vertical="center"/>
      <protection locked="0"/>
    </xf>
    <xf numFmtId="2" fontId="16" fillId="0" borderId="21" xfId="1" applyNumberFormat="1" applyFont="1" applyBorder="1" applyAlignment="1" applyProtection="1">
      <alignment horizontal="center" vertical="center"/>
    </xf>
    <xf numFmtId="2" fontId="14" fillId="0" borderId="21" xfId="0" applyNumberFormat="1" applyFont="1" applyBorder="1" applyAlignment="1">
      <alignment horizontal="center" vertical="center"/>
    </xf>
    <xf numFmtId="2" fontId="14" fillId="0" borderId="66" xfId="0" applyNumberFormat="1" applyFont="1" applyBorder="1" applyAlignment="1">
      <alignment horizontal="center" vertical="center"/>
    </xf>
    <xf numFmtId="2" fontId="14" fillId="8" borderId="0" xfId="0" applyNumberFormat="1" applyFont="1" applyFill="1" applyAlignment="1" applyProtection="1">
      <alignment horizontal="center" vertical="center"/>
      <protection locked="0"/>
    </xf>
    <xf numFmtId="182" fontId="47" fillId="0" borderId="26" xfId="0" applyNumberFormat="1" applyFont="1" applyBorder="1" applyAlignment="1" applyProtection="1">
      <alignment vertical="center"/>
      <protection locked="0"/>
    </xf>
    <xf numFmtId="182" fontId="47" fillId="0" borderId="27" xfId="0" applyNumberFormat="1" applyFont="1" applyBorder="1" applyAlignment="1" applyProtection="1">
      <alignment vertical="center"/>
      <protection locked="0"/>
    </xf>
    <xf numFmtId="168" fontId="47" fillId="0" borderId="27" xfId="0" applyNumberFormat="1" applyFont="1" applyBorder="1" applyAlignment="1">
      <alignment horizontal="center" vertical="center"/>
    </xf>
    <xf numFmtId="167" fontId="47" fillId="0" borderId="27" xfId="3" applyNumberFormat="1" applyFont="1" applyBorder="1" applyAlignment="1" applyProtection="1">
      <alignment horizontal="center" vertical="center"/>
    </xf>
    <xf numFmtId="167" fontId="47" fillId="0" borderId="40" xfId="3" applyNumberFormat="1" applyFont="1" applyBorder="1" applyAlignment="1" applyProtection="1">
      <alignment horizontal="center" vertical="center"/>
    </xf>
    <xf numFmtId="182" fontId="16" fillId="10" borderId="53" xfId="0" applyNumberFormat="1" applyFont="1" applyFill="1" applyBorder="1" applyAlignment="1">
      <alignment horizontal="center" vertical="center"/>
    </xf>
    <xf numFmtId="0" fontId="16" fillId="10" borderId="53" xfId="0" applyFont="1" applyFill="1" applyBorder="1" applyAlignment="1">
      <alignment horizontal="center" vertical="center"/>
    </xf>
    <xf numFmtId="2" fontId="16" fillId="10" borderId="53" xfId="0" applyNumberFormat="1" applyFont="1" applyFill="1" applyBorder="1" applyAlignment="1">
      <alignment horizontal="center" vertical="center"/>
    </xf>
    <xf numFmtId="2" fontId="16" fillId="10" borderId="54" xfId="0" applyNumberFormat="1" applyFont="1" applyFill="1" applyBorder="1" applyAlignment="1">
      <alignment horizontal="center" vertical="center"/>
    </xf>
    <xf numFmtId="182" fontId="14" fillId="0" borderId="53" xfId="0" applyNumberFormat="1" applyFont="1" applyBorder="1" applyAlignment="1" applyProtection="1">
      <alignment horizontal="center" vertical="center"/>
      <protection locked="0"/>
    </xf>
    <xf numFmtId="2" fontId="14" fillId="8" borderId="53" xfId="0" applyNumberFormat="1" applyFont="1" applyFill="1" applyBorder="1" applyAlignment="1" applyProtection="1">
      <alignment horizontal="center" vertical="center"/>
      <protection locked="0"/>
    </xf>
    <xf numFmtId="2" fontId="16" fillId="0" borderId="53" xfId="1" applyNumberFormat="1" applyFont="1" applyBorder="1" applyAlignment="1" applyProtection="1">
      <alignment horizontal="center" vertical="center"/>
      <protection locked="0"/>
    </xf>
    <xf numFmtId="2" fontId="14" fillId="0" borderId="0" xfId="0" applyNumberFormat="1" applyFont="1" applyAlignment="1" applyProtection="1">
      <alignment horizontal="center" vertical="center"/>
      <protection locked="0"/>
    </xf>
    <xf numFmtId="167" fontId="14" fillId="4" borderId="0" xfId="3" applyNumberFormat="1" applyFont="1" applyFill="1" applyAlignment="1" applyProtection="1">
      <alignment horizontal="center" vertical="center"/>
      <protection locked="0"/>
    </xf>
    <xf numFmtId="0" fontId="4" fillId="10" borderId="26" xfId="0" applyFont="1" applyFill="1" applyBorder="1" applyProtection="1">
      <protection locked="0"/>
    </xf>
    <xf numFmtId="0" fontId="5" fillId="11" borderId="36" xfId="0" applyFont="1" applyFill="1" applyBorder="1" applyProtection="1">
      <protection locked="0"/>
    </xf>
    <xf numFmtId="164" fontId="5" fillId="11" borderId="37" xfId="2" applyNumberFormat="1" applyFont="1" applyFill="1" applyBorder="1" applyProtection="1"/>
    <xf numFmtId="167" fontId="14" fillId="0" borderId="0" xfId="0" applyNumberFormat="1" applyFont="1" applyAlignment="1" applyProtection="1">
      <alignment horizontal="center"/>
      <protection locked="0"/>
    </xf>
    <xf numFmtId="167" fontId="16" fillId="9" borderId="27" xfId="0" applyNumberFormat="1" applyFont="1" applyFill="1" applyBorder="1" applyAlignment="1" applyProtection="1">
      <alignment horizontal="center"/>
      <protection locked="0"/>
    </xf>
    <xf numFmtId="167" fontId="14" fillId="0" borderId="0" xfId="3" applyNumberFormat="1" applyFont="1" applyBorder="1" applyAlignment="1" applyProtection="1">
      <alignment horizontal="center"/>
    </xf>
    <xf numFmtId="167" fontId="16" fillId="11" borderId="37" xfId="3" applyNumberFormat="1" applyFont="1" applyFill="1" applyBorder="1" applyAlignment="1" applyProtection="1">
      <alignment horizontal="center"/>
    </xf>
    <xf numFmtId="167" fontId="14" fillId="10" borderId="27" xfId="3" applyNumberFormat="1" applyFont="1" applyFill="1" applyBorder="1" applyAlignment="1" applyProtection="1">
      <alignment horizontal="center"/>
      <protection locked="0"/>
    </xf>
    <xf numFmtId="167" fontId="14" fillId="9" borderId="40" xfId="0" applyNumberFormat="1" applyFont="1" applyFill="1" applyBorder="1" applyAlignment="1" applyProtection="1">
      <alignment horizontal="center"/>
      <protection locked="0"/>
    </xf>
    <xf numFmtId="167" fontId="14" fillId="0" borderId="65" xfId="0" applyNumberFormat="1" applyFont="1" applyBorder="1" applyAlignment="1" applyProtection="1">
      <alignment horizontal="center"/>
      <protection locked="0"/>
    </xf>
    <xf numFmtId="167" fontId="16" fillId="11" borderId="38" xfId="0" applyNumberFormat="1" applyFont="1" applyFill="1" applyBorder="1" applyAlignment="1" applyProtection="1">
      <alignment horizontal="center"/>
      <protection locked="0"/>
    </xf>
    <xf numFmtId="167" fontId="14" fillId="10" borderId="40" xfId="0" applyNumberFormat="1" applyFont="1" applyFill="1" applyBorder="1" applyAlignment="1" applyProtection="1">
      <alignment horizontal="center"/>
      <protection locked="0"/>
    </xf>
    <xf numFmtId="0" fontId="16" fillId="10" borderId="52" xfId="0" applyFont="1" applyFill="1" applyBorder="1" applyAlignment="1" applyProtection="1">
      <alignment horizontal="left" vertical="center"/>
      <protection locked="0"/>
    </xf>
    <xf numFmtId="182" fontId="17" fillId="10" borderId="36" xfId="0" applyNumberFormat="1" applyFont="1" applyFill="1" applyBorder="1" applyAlignment="1" applyProtection="1">
      <alignment horizontal="left" vertical="center"/>
      <protection locked="0"/>
    </xf>
    <xf numFmtId="182" fontId="17" fillId="10" borderId="37" xfId="0" applyNumberFormat="1" applyFont="1" applyFill="1" applyBorder="1" applyAlignment="1" applyProtection="1">
      <alignment horizontal="center" vertical="center"/>
      <protection locked="0"/>
    </xf>
    <xf numFmtId="168" fontId="17" fillId="10" borderId="37" xfId="0" applyNumberFormat="1" applyFont="1" applyFill="1" applyBorder="1" applyAlignment="1">
      <alignment horizontal="center" vertical="center"/>
    </xf>
    <xf numFmtId="167" fontId="17" fillId="10" borderId="37" xfId="3" applyNumberFormat="1" applyFont="1" applyFill="1" applyBorder="1" applyAlignment="1" applyProtection="1">
      <alignment horizontal="center" vertical="center"/>
    </xf>
    <xf numFmtId="167" fontId="17" fillId="10" borderId="38" xfId="3" applyNumberFormat="1" applyFont="1" applyFill="1" applyBorder="1" applyAlignment="1" applyProtection="1">
      <alignment horizontal="center" vertical="center"/>
    </xf>
    <xf numFmtId="0" fontId="14" fillId="0" borderId="50" xfId="0" applyFont="1" applyBorder="1" applyAlignment="1" applyProtection="1">
      <alignment horizontal="center" vertical="center"/>
      <protection locked="0"/>
    </xf>
    <xf numFmtId="42" fontId="16" fillId="10" borderId="89" xfId="0" applyNumberFormat="1" applyFont="1" applyFill="1" applyBorder="1" applyAlignment="1">
      <alignment vertical="center"/>
    </xf>
    <xf numFmtId="0" fontId="5" fillId="2" borderId="56" xfId="0" applyFont="1" applyFill="1" applyBorder="1" applyAlignment="1" applyProtection="1">
      <alignment horizontal="center" vertical="center" wrapText="1"/>
      <protection locked="0"/>
    </xf>
    <xf numFmtId="0" fontId="5" fillId="2" borderId="55" xfId="1" applyNumberFormat="1" applyFont="1" applyFill="1" applyBorder="1" applyAlignment="1" applyProtection="1">
      <alignment horizontal="center" vertical="center" wrapText="1"/>
      <protection locked="0"/>
    </xf>
    <xf numFmtId="167" fontId="5" fillId="2" borderId="2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28" xfId="1" applyNumberFormat="1" applyFont="1" applyFill="1" applyBorder="1" applyAlignment="1" applyProtection="1">
      <alignment horizontal="center" vertical="center" wrapText="1"/>
      <protection locked="0"/>
    </xf>
    <xf numFmtId="167" fontId="5" fillId="2" borderId="29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0" fontId="5" fillId="2" borderId="55" xfId="0" applyFont="1" applyFill="1" applyBorder="1" applyAlignment="1" applyProtection="1">
      <alignment horizontal="center" vertical="center" wrapText="1"/>
      <protection locked="0"/>
    </xf>
    <xf numFmtId="167" fontId="5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 applyProtection="1">
      <alignment vertical="center"/>
      <protection locked="0"/>
    </xf>
    <xf numFmtId="42" fontId="5" fillId="2" borderId="50" xfId="1" applyNumberFormat="1" applyFont="1" applyFill="1" applyBorder="1" applyAlignment="1" applyProtection="1">
      <alignment horizontal="left" vertical="center"/>
    </xf>
    <xf numFmtId="167" fontId="5" fillId="2" borderId="31" xfId="3" applyNumberFormat="1" applyFont="1" applyFill="1" applyBorder="1" applyAlignment="1" applyProtection="1">
      <alignment horizontal="center" vertical="center"/>
    </xf>
    <xf numFmtId="42" fontId="5" fillId="2" borderId="31" xfId="1" applyNumberFormat="1" applyFont="1" applyFill="1" applyBorder="1" applyAlignment="1" applyProtection="1">
      <alignment horizontal="left" vertical="center"/>
    </xf>
    <xf numFmtId="167" fontId="5" fillId="2" borderId="33" xfId="3" applyNumberFormat="1" applyFont="1" applyFill="1" applyBorder="1" applyAlignment="1" applyProtection="1">
      <alignment horizontal="center" vertical="center"/>
    </xf>
    <xf numFmtId="42" fontId="5" fillId="2" borderId="31" xfId="2" applyNumberFormat="1" applyFont="1" applyFill="1" applyBorder="1" applyAlignment="1" applyProtection="1">
      <alignment horizontal="left" vertical="center"/>
    </xf>
    <xf numFmtId="164" fontId="5" fillId="2" borderId="50" xfId="2" applyNumberFormat="1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vertical="center"/>
      <protection locked="0"/>
    </xf>
    <xf numFmtId="42" fontId="5" fillId="3" borderId="20" xfId="1" applyNumberFormat="1" applyFont="1" applyFill="1" applyBorder="1" applyAlignment="1" applyProtection="1">
      <alignment horizontal="left" vertical="center"/>
      <protection locked="0"/>
    </xf>
    <xf numFmtId="167" fontId="5" fillId="3" borderId="17" xfId="3" applyNumberFormat="1" applyFont="1" applyFill="1" applyBorder="1" applyAlignment="1" applyProtection="1">
      <alignment horizontal="center" vertical="center"/>
    </xf>
    <xf numFmtId="42" fontId="5" fillId="3" borderId="17" xfId="1" applyNumberFormat="1" applyFont="1" applyFill="1" applyBorder="1" applyAlignment="1" applyProtection="1">
      <alignment horizontal="left" vertical="center"/>
    </xf>
    <xf numFmtId="42" fontId="5" fillId="3" borderId="17" xfId="1" applyNumberFormat="1" applyFont="1" applyFill="1" applyBorder="1" applyAlignment="1" applyProtection="1">
      <alignment horizontal="left" vertical="center"/>
      <protection locked="0"/>
    </xf>
    <xf numFmtId="167" fontId="5" fillId="3" borderId="19" xfId="3" applyNumberFormat="1" applyFont="1" applyFill="1" applyBorder="1" applyAlignment="1" applyProtection="1">
      <alignment horizontal="center" vertical="center"/>
    </xf>
    <xf numFmtId="42" fontId="5" fillId="3" borderId="17" xfId="0" applyNumberFormat="1" applyFont="1" applyFill="1" applyBorder="1" applyAlignment="1">
      <alignment horizontal="left" vertical="center"/>
    </xf>
    <xf numFmtId="164" fontId="5" fillId="3" borderId="20" xfId="0" applyNumberFormat="1" applyFont="1" applyFill="1" applyBorder="1" applyAlignment="1" applyProtection="1">
      <alignment horizontal="center" vertical="center"/>
      <protection locked="0"/>
    </xf>
    <xf numFmtId="42" fontId="5" fillId="3" borderId="17" xfId="0" applyNumberFormat="1" applyFont="1" applyFill="1" applyBorder="1" applyAlignment="1">
      <alignment horizontal="left" vertical="center" wrapText="1"/>
    </xf>
    <xf numFmtId="167" fontId="5" fillId="3" borderId="13" xfId="0" applyNumberFormat="1" applyFont="1" applyFill="1" applyBorder="1" applyAlignment="1">
      <alignment horizontal="center" vertical="center" wrapText="1"/>
    </xf>
    <xf numFmtId="42" fontId="5" fillId="3" borderId="13" xfId="1" applyNumberFormat="1" applyFont="1" applyFill="1" applyBorder="1" applyAlignment="1" applyProtection="1">
      <alignment horizontal="left" vertical="center"/>
    </xf>
    <xf numFmtId="167" fontId="5" fillId="3" borderId="15" xfId="3" applyNumberFormat="1" applyFont="1" applyFill="1" applyBorder="1" applyAlignment="1" applyProtection="1">
      <alignment horizontal="center" vertical="center"/>
    </xf>
    <xf numFmtId="14" fontId="14" fillId="0" borderId="66" xfId="0" applyNumberFormat="1" applyFont="1" applyBorder="1" applyAlignment="1" applyProtection="1">
      <alignment horizontal="center"/>
      <protection locked="0"/>
    </xf>
    <xf numFmtId="17" fontId="14" fillId="4" borderId="61" xfId="0" applyNumberFormat="1" applyFont="1" applyFill="1" applyBorder="1" applyAlignment="1" applyProtection="1">
      <alignment horizontal="center" vertical="center"/>
      <protection locked="0"/>
    </xf>
    <xf numFmtId="17" fontId="14" fillId="4" borderId="65" xfId="0" applyNumberFormat="1" applyFont="1" applyFill="1" applyBorder="1" applyAlignment="1" applyProtection="1">
      <alignment horizontal="center" vertical="center"/>
      <protection locked="0"/>
    </xf>
    <xf numFmtId="17" fontId="14" fillId="4" borderId="66" xfId="0" applyNumberFormat="1" applyFont="1" applyFill="1" applyBorder="1" applyAlignment="1" applyProtection="1">
      <alignment horizontal="center" vertical="center"/>
      <protection locked="0"/>
    </xf>
    <xf numFmtId="0" fontId="28" fillId="10" borderId="7" xfId="0" applyFont="1" applyFill="1" applyBorder="1"/>
    <xf numFmtId="0" fontId="5" fillId="10" borderId="25" xfId="0" applyFont="1" applyFill="1" applyBorder="1"/>
    <xf numFmtId="165" fontId="21" fillId="9" borderId="52" xfId="0" applyNumberFormat="1" applyFont="1" applyFill="1" applyBorder="1" applyAlignment="1" applyProtection="1">
      <alignment horizontal="center"/>
      <protection locked="0"/>
    </xf>
    <xf numFmtId="165" fontId="21" fillId="9" borderId="53" xfId="0" applyNumberFormat="1" applyFont="1" applyFill="1" applyBorder="1" applyAlignment="1" applyProtection="1">
      <alignment horizontal="center"/>
      <protection locked="0"/>
    </xf>
    <xf numFmtId="165" fontId="21" fillId="9" borderId="54" xfId="0" applyNumberFormat="1" applyFont="1" applyFill="1" applyBorder="1" applyAlignment="1" applyProtection="1">
      <alignment horizontal="center"/>
      <protection locked="0"/>
    </xf>
    <xf numFmtId="41" fontId="45" fillId="0" borderId="74" xfId="0" applyNumberFormat="1" applyFont="1" applyBorder="1" applyAlignment="1">
      <alignment horizontal="left" vertical="center"/>
    </xf>
    <xf numFmtId="41" fontId="45" fillId="0" borderId="49" xfId="0" applyNumberFormat="1" applyFont="1" applyBorder="1" applyAlignment="1">
      <alignment horizontal="left" vertical="center"/>
    </xf>
    <xf numFmtId="41" fontId="45" fillId="0" borderId="9" xfId="0" applyNumberFormat="1" applyFont="1" applyBorder="1" applyAlignment="1">
      <alignment horizontal="left" vertical="center"/>
    </xf>
    <xf numFmtId="41" fontId="45" fillId="0" borderId="0" xfId="0" applyNumberFormat="1" applyFont="1" applyAlignment="1">
      <alignment horizontal="left" vertical="center"/>
    </xf>
    <xf numFmtId="41" fontId="45" fillId="0" borderId="64" xfId="0" applyNumberFormat="1" applyFont="1" applyBorder="1" applyAlignment="1">
      <alignment horizontal="left" vertical="center"/>
    </xf>
    <xf numFmtId="41" fontId="45" fillId="0" borderId="65" xfId="0" applyNumberFormat="1" applyFont="1" applyBorder="1" applyAlignment="1">
      <alignment horizontal="left" vertical="center"/>
    </xf>
    <xf numFmtId="41" fontId="44" fillId="0" borderId="9" xfId="0" applyNumberFormat="1" applyFont="1" applyBorder="1" applyAlignment="1">
      <alignment horizontal="left" vertical="center"/>
    </xf>
    <xf numFmtId="41" fontId="44" fillId="0" borderId="76" xfId="0" applyNumberFormat="1" applyFont="1" applyBorder="1" applyAlignment="1" applyProtection="1">
      <alignment horizontal="left" vertical="center"/>
      <protection locked="0"/>
    </xf>
    <xf numFmtId="41" fontId="44" fillId="0" borderId="0" xfId="0" applyNumberFormat="1" applyFont="1" applyAlignment="1">
      <alignment horizontal="left" vertical="center"/>
    </xf>
    <xf numFmtId="41" fontId="44" fillId="0" borderId="64" xfId="0" applyNumberFormat="1" applyFont="1" applyBorder="1" applyAlignment="1">
      <alignment horizontal="left" vertical="center"/>
    </xf>
    <xf numFmtId="41" fontId="44" fillId="0" borderId="65" xfId="0" applyNumberFormat="1" applyFont="1" applyBorder="1" applyAlignment="1">
      <alignment horizontal="left" vertical="center"/>
    </xf>
    <xf numFmtId="41" fontId="44" fillId="0" borderId="76" xfId="0" applyNumberFormat="1" applyFont="1" applyBorder="1" applyAlignment="1">
      <alignment horizontal="left" vertical="center"/>
    </xf>
    <xf numFmtId="41" fontId="44" fillId="8" borderId="21" xfId="0" applyNumberFormat="1" applyFont="1" applyFill="1" applyBorder="1" applyAlignment="1" applyProtection="1">
      <alignment vertical="center"/>
      <protection locked="0"/>
    </xf>
    <xf numFmtId="41" fontId="44" fillId="8" borderId="14" xfId="0" applyNumberFormat="1" applyFont="1" applyFill="1" applyBorder="1" applyAlignment="1" applyProtection="1">
      <alignment vertical="center"/>
      <protection locked="0"/>
    </xf>
    <xf numFmtId="165" fontId="45" fillId="9" borderId="60" xfId="0" quotePrefix="1" applyNumberFormat="1" applyFont="1" applyFill="1" applyBorder="1" applyAlignment="1" applyProtection="1">
      <alignment horizontal="center" vertical="center"/>
      <protection locked="0"/>
    </xf>
    <xf numFmtId="41" fontId="14" fillId="0" borderId="9" xfId="0" applyNumberFormat="1" applyFont="1" applyBorder="1" applyAlignment="1" applyProtection="1">
      <alignment vertical="center"/>
      <protection locked="0"/>
    </xf>
    <xf numFmtId="41" fontId="15" fillId="0" borderId="0" xfId="0" applyNumberFormat="1" applyFont="1" applyAlignment="1" applyProtection="1">
      <alignment vertical="center"/>
      <protection locked="0"/>
    </xf>
    <xf numFmtId="41" fontId="15" fillId="8" borderId="0" xfId="0" applyNumberFormat="1" applyFont="1" applyFill="1" applyAlignment="1" applyProtection="1">
      <alignment vertical="center"/>
      <protection locked="0"/>
    </xf>
    <xf numFmtId="41" fontId="15" fillId="0" borderId="9" xfId="0" applyNumberFormat="1" applyFont="1" applyBorder="1" applyAlignment="1" applyProtection="1">
      <alignment vertical="center"/>
      <protection locked="0"/>
    </xf>
    <xf numFmtId="41" fontId="14" fillId="0" borderId="64" xfId="0" applyNumberFormat="1" applyFont="1" applyBorder="1" applyAlignment="1" applyProtection="1">
      <alignment vertical="center"/>
      <protection locked="0"/>
    </xf>
    <xf numFmtId="41" fontId="14" fillId="0" borderId="14" xfId="0" applyNumberFormat="1" applyFont="1" applyBorder="1" applyAlignment="1" applyProtection="1">
      <alignment vertical="center"/>
      <protection locked="0"/>
    </xf>
    <xf numFmtId="41" fontId="15" fillId="0" borderId="21" xfId="0" applyNumberFormat="1" applyFont="1" applyBorder="1" applyAlignment="1" applyProtection="1">
      <alignment vertical="center"/>
      <protection locked="0"/>
    </xf>
    <xf numFmtId="41" fontId="15" fillId="8" borderId="21" xfId="0" applyNumberFormat="1" applyFont="1" applyFill="1" applyBorder="1" applyAlignment="1" applyProtection="1">
      <alignment vertical="center"/>
      <protection locked="0"/>
    </xf>
    <xf numFmtId="41" fontId="15" fillId="0" borderId="14" xfId="0" applyNumberFormat="1" applyFont="1" applyBorder="1" applyAlignment="1" applyProtection="1">
      <alignment vertical="center"/>
      <protection locked="0"/>
    </xf>
    <xf numFmtId="41" fontId="14" fillId="0" borderId="21" xfId="0" applyNumberFormat="1" applyFont="1" applyBorder="1" applyAlignment="1" applyProtection="1">
      <alignment vertical="center"/>
      <protection locked="0"/>
    </xf>
    <xf numFmtId="41" fontId="14" fillId="0" borderId="57" xfId="0" applyNumberFormat="1" applyFont="1" applyBorder="1" applyAlignment="1" applyProtection="1">
      <alignment vertical="center"/>
      <protection locked="0"/>
    </xf>
    <xf numFmtId="41" fontId="15" fillId="0" borderId="39" xfId="0" applyNumberFormat="1" applyFont="1" applyBorder="1" applyAlignment="1" applyProtection="1">
      <alignment horizontal="right" vertical="center"/>
      <protection locked="0"/>
    </xf>
    <xf numFmtId="41" fontId="15" fillId="0" borderId="75" xfId="0" applyNumberFormat="1" applyFont="1" applyBorder="1" applyAlignment="1" applyProtection="1">
      <alignment horizontal="right" vertical="center"/>
      <protection locked="0"/>
    </xf>
    <xf numFmtId="41" fontId="15" fillId="0" borderId="39" xfId="0" applyNumberFormat="1" applyFont="1" applyBorder="1" applyAlignment="1" applyProtection="1">
      <alignment vertical="center"/>
      <protection locked="0"/>
    </xf>
    <xf numFmtId="41" fontId="14" fillId="8" borderId="39" xfId="0" applyNumberFormat="1" applyFont="1" applyFill="1" applyBorder="1" applyAlignment="1" applyProtection="1">
      <alignment vertical="center"/>
      <protection locked="0"/>
    </xf>
    <xf numFmtId="41" fontId="14" fillId="0" borderId="68" xfId="0" applyNumberFormat="1" applyFont="1" applyBorder="1" applyAlignment="1" applyProtection="1">
      <alignment vertical="center"/>
      <protection locked="0"/>
    </xf>
    <xf numFmtId="41" fontId="44" fillId="0" borderId="9" xfId="0" applyNumberFormat="1" applyFont="1" applyBorder="1" applyAlignment="1">
      <alignment horizontal="center" vertical="center"/>
    </xf>
    <xf numFmtId="41" fontId="45" fillId="0" borderId="0" xfId="0" applyNumberFormat="1" applyFont="1" applyAlignment="1">
      <alignment horizontal="center" vertical="center"/>
    </xf>
    <xf numFmtId="41" fontId="44" fillId="0" borderId="0" xfId="0" applyNumberFormat="1" applyFont="1" applyAlignment="1">
      <alignment horizontal="center" vertical="center"/>
    </xf>
    <xf numFmtId="0" fontId="14" fillId="0" borderId="0" xfId="0" quotePrefix="1" applyFont="1" applyAlignment="1">
      <alignment vertical="center"/>
    </xf>
    <xf numFmtId="189" fontId="18" fillId="0" borderId="0" xfId="0" applyNumberFormat="1" applyFont="1" applyProtection="1">
      <protection locked="0"/>
    </xf>
    <xf numFmtId="189" fontId="19" fillId="9" borderId="45" xfId="0" applyNumberFormat="1" applyFont="1" applyFill="1" applyBorder="1" applyAlignment="1" applyProtection="1">
      <alignment horizontal="center"/>
      <protection locked="0"/>
    </xf>
    <xf numFmtId="189" fontId="19" fillId="0" borderId="12" xfId="2" applyNumberFormat="1" applyFont="1" applyBorder="1" applyAlignment="1" applyProtection="1">
      <alignment horizontal="center"/>
    </xf>
    <xf numFmtId="189" fontId="19" fillId="0" borderId="24" xfId="2" applyNumberFormat="1" applyFont="1" applyBorder="1" applyAlignment="1" applyProtection="1">
      <alignment horizontal="center"/>
    </xf>
    <xf numFmtId="189" fontId="18" fillId="0" borderId="0" xfId="2" applyNumberFormat="1" applyFont="1" applyBorder="1" applyAlignment="1" applyProtection="1">
      <alignment horizontal="center"/>
      <protection locked="0"/>
    </xf>
    <xf numFmtId="189" fontId="18" fillId="0" borderId="0" xfId="0" applyNumberFormat="1" applyFont="1" applyAlignment="1" applyProtection="1">
      <alignment horizontal="center"/>
      <protection locked="0"/>
    </xf>
    <xf numFmtId="0" fontId="18" fillId="0" borderId="0" xfId="3" applyNumberFormat="1" applyFont="1" applyAlignment="1" applyProtection="1">
      <alignment horizontal="center" vertical="center"/>
      <protection locked="0"/>
    </xf>
    <xf numFmtId="0" fontId="110" fillId="0" borderId="0" xfId="0" applyFont="1"/>
    <xf numFmtId="0" fontId="16" fillId="10" borderId="17" xfId="3" applyNumberFormat="1" applyFont="1" applyFill="1" applyBorder="1" applyAlignment="1" applyProtection="1">
      <alignment horizontal="center" vertical="center"/>
      <protection locked="0"/>
    </xf>
    <xf numFmtId="167" fontId="39" fillId="0" borderId="0" xfId="0" applyNumberFormat="1" applyFont="1" applyAlignment="1">
      <alignment horizontal="center" vertical="center"/>
    </xf>
    <xf numFmtId="167" fontId="16" fillId="11" borderId="30" xfId="3" applyNumberFormat="1" applyFont="1" applyFill="1" applyBorder="1" applyAlignment="1" applyProtection="1">
      <alignment horizontal="center" vertical="center"/>
    </xf>
    <xf numFmtId="42" fontId="14" fillId="0" borderId="0" xfId="0" applyNumberFormat="1" applyFont="1" applyAlignment="1" applyProtection="1">
      <alignment horizontal="center" vertical="center" wrapText="1"/>
      <protection locked="0"/>
    </xf>
    <xf numFmtId="6" fontId="16" fillId="0" borderId="0" xfId="0" applyNumberFormat="1" applyFont="1" applyAlignment="1" applyProtection="1">
      <alignment horizontal="center" vertical="center"/>
      <protection locked="0"/>
    </xf>
    <xf numFmtId="167" fontId="39" fillId="0" borderId="76" xfId="0" applyNumberFormat="1" applyFont="1" applyBorder="1" applyAlignment="1">
      <alignment horizontal="center" vertical="center"/>
    </xf>
    <xf numFmtId="167" fontId="16" fillId="11" borderId="11" xfId="3" applyNumberFormat="1" applyFont="1" applyFill="1" applyBorder="1" applyAlignment="1" applyProtection="1">
      <alignment horizontal="center" vertical="center"/>
    </xf>
    <xf numFmtId="42" fontId="16" fillId="0" borderId="76" xfId="0" applyNumberFormat="1" applyFont="1" applyBorder="1" applyAlignment="1">
      <alignment horizontal="center" vertical="center"/>
    </xf>
    <xf numFmtId="168" fontId="16" fillId="0" borderId="76" xfId="0" applyNumberFormat="1" applyFont="1" applyBorder="1" applyAlignment="1" applyProtection="1">
      <alignment horizontal="center" vertical="center"/>
      <protection locked="0"/>
    </xf>
    <xf numFmtId="168" fontId="16" fillId="0" borderId="47" xfId="0" applyNumberFormat="1" applyFont="1" applyBorder="1" applyAlignment="1" applyProtection="1">
      <alignment horizontal="center" vertical="center"/>
      <protection locked="0"/>
    </xf>
    <xf numFmtId="42" fontId="16" fillId="10" borderId="49" xfId="0" applyNumberFormat="1" applyFont="1" applyFill="1" applyBorder="1" applyAlignment="1">
      <alignment vertical="center"/>
    </xf>
    <xf numFmtId="42" fontId="16" fillId="10" borderId="108" xfId="0" applyNumberFormat="1" applyFont="1" applyFill="1" applyBorder="1" applyAlignment="1">
      <alignment vertical="center"/>
    </xf>
    <xf numFmtId="191" fontId="1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42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91" fontId="14" fillId="0" borderId="109" xfId="0" applyNumberFormat="1" applyFont="1" applyBorder="1" applyAlignment="1">
      <alignment horizontal="left" vertical="center"/>
    </xf>
    <xf numFmtId="42" fontId="4" fillId="0" borderId="110" xfId="0" applyNumberFormat="1" applyFont="1" applyBorder="1" applyAlignment="1">
      <alignment horizontal="left" vertical="center"/>
    </xf>
    <xf numFmtId="165" fontId="4" fillId="0" borderId="110" xfId="0" applyNumberFormat="1" applyFont="1" applyBorder="1" applyAlignment="1">
      <alignment horizontal="center" vertical="center"/>
    </xf>
    <xf numFmtId="191" fontId="14" fillId="0" borderId="112" xfId="0" applyNumberFormat="1" applyFont="1" applyBorder="1" applyAlignment="1">
      <alignment horizontal="left" vertical="center"/>
    </xf>
    <xf numFmtId="42" fontId="4" fillId="0" borderId="113" xfId="0" applyNumberFormat="1" applyFont="1" applyBorder="1" applyAlignment="1">
      <alignment horizontal="left" vertical="center"/>
    </xf>
    <xf numFmtId="165" fontId="4" fillId="0" borderId="113" xfId="0" applyNumberFormat="1" applyFont="1" applyBorder="1" applyAlignment="1">
      <alignment horizontal="center" vertical="center"/>
    </xf>
    <xf numFmtId="0" fontId="4" fillId="0" borderId="111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 vertical="center"/>
    </xf>
    <xf numFmtId="191" fontId="14" fillId="2" borderId="112" xfId="0" applyNumberFormat="1" applyFont="1" applyFill="1" applyBorder="1" applyAlignment="1">
      <alignment horizontal="left" vertical="center"/>
    </xf>
    <xf numFmtId="42" fontId="4" fillId="2" borderId="113" xfId="0" applyNumberFormat="1" applyFont="1" applyFill="1" applyBorder="1" applyAlignment="1">
      <alignment horizontal="left" vertical="center"/>
    </xf>
    <xf numFmtId="165" fontId="4" fillId="2" borderId="113" xfId="0" applyNumberFormat="1" applyFont="1" applyFill="1" applyBorder="1" applyAlignment="1">
      <alignment horizontal="center" vertical="center"/>
    </xf>
    <xf numFmtId="0" fontId="4" fillId="2" borderId="114" xfId="0" applyFont="1" applyFill="1" applyBorder="1" applyAlignment="1">
      <alignment horizontal="center" vertical="center"/>
    </xf>
    <xf numFmtId="191" fontId="5" fillId="0" borderId="0" xfId="0" applyNumberFormat="1" applyFont="1" applyAlignment="1">
      <alignment horizontal="left" vertical="center"/>
    </xf>
    <xf numFmtId="191" fontId="16" fillId="9" borderId="10" xfId="0" applyNumberFormat="1" applyFont="1" applyFill="1" applyBorder="1" applyAlignment="1">
      <alignment horizontal="center" vertical="center"/>
    </xf>
    <xf numFmtId="42" fontId="5" fillId="9" borderId="30" xfId="0" applyNumberFormat="1" applyFont="1" applyFill="1" applyBorder="1" applyAlignment="1">
      <alignment horizontal="center" vertical="center"/>
    </xf>
    <xf numFmtId="165" fontId="5" fillId="9" borderId="30" xfId="0" applyNumberFormat="1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167" fontId="20" fillId="10" borderId="43" xfId="3" applyNumberFormat="1" applyFont="1" applyFill="1" applyBorder="1" applyAlignment="1" applyProtection="1">
      <alignment horizontal="center" vertical="center"/>
    </xf>
    <xf numFmtId="39" fontId="20" fillId="0" borderId="47" xfId="0" applyNumberFormat="1" applyFont="1" applyBorder="1" applyAlignment="1">
      <alignment horizontal="center" vertical="center"/>
    </xf>
    <xf numFmtId="39" fontId="20" fillId="0" borderId="51" xfId="0" applyNumberFormat="1" applyFont="1" applyBorder="1" applyAlignment="1">
      <alignment horizontal="center" vertical="center"/>
    </xf>
    <xf numFmtId="39" fontId="20" fillId="0" borderId="11" xfId="0" applyNumberFormat="1" applyFont="1" applyBorder="1" applyAlignment="1">
      <alignment horizontal="center" vertical="center"/>
    </xf>
    <xf numFmtId="39" fontId="20" fillId="0" borderId="20" xfId="0" applyNumberFormat="1" applyFont="1" applyBorder="1" applyAlignment="1">
      <alignment horizontal="center" vertical="center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left" vertical="center"/>
      <protection locked="0"/>
    </xf>
    <xf numFmtId="165" fontId="4" fillId="0" borderId="115" xfId="0" applyNumberFormat="1" applyFont="1" applyBorder="1" applyAlignment="1" applyProtection="1">
      <alignment horizontal="center" vertical="center"/>
      <protection locked="0"/>
    </xf>
    <xf numFmtId="42" fontId="4" fillId="0" borderId="115" xfId="0" applyNumberFormat="1" applyFont="1" applyBorder="1" applyAlignment="1" applyProtection="1">
      <alignment horizontal="left" vertical="center"/>
      <protection locked="0"/>
    </xf>
    <xf numFmtId="165" fontId="4" fillId="0" borderId="116" xfId="0" applyNumberFormat="1" applyFont="1" applyBorder="1" applyAlignment="1" applyProtection="1">
      <alignment horizontal="center" vertical="center"/>
      <protection locked="0"/>
    </xf>
    <xf numFmtId="191" fontId="1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9" fontId="4" fillId="0" borderId="0" xfId="0" applyNumberFormat="1" applyFont="1" applyAlignment="1" applyProtection="1">
      <alignment horizontal="center" vertical="center"/>
      <protection locked="0"/>
    </xf>
    <xf numFmtId="165" fontId="4" fillId="0" borderId="0" xfId="0" applyNumberFormat="1" applyFont="1" applyAlignment="1" applyProtection="1">
      <alignment horizontal="center" vertical="center"/>
      <protection locked="0"/>
    </xf>
    <xf numFmtId="192" fontId="4" fillId="0" borderId="0" xfId="0" applyNumberFormat="1" applyFont="1" applyAlignment="1" applyProtection="1">
      <alignment horizontal="center" vertical="center"/>
      <protection locked="0"/>
    </xf>
    <xf numFmtId="191" fontId="14" fillId="0" borderId="0" xfId="0" applyNumberFormat="1" applyFont="1" applyAlignment="1" applyProtection="1">
      <alignment vertical="center"/>
      <protection locked="0"/>
    </xf>
    <xf numFmtId="165" fontId="14" fillId="0" borderId="0" xfId="0" applyNumberFormat="1" applyFont="1" applyAlignment="1" applyProtection="1">
      <alignment vertical="center"/>
      <protection locked="0"/>
    </xf>
    <xf numFmtId="192" fontId="14" fillId="0" borderId="0" xfId="0" applyNumberFormat="1" applyFont="1" applyAlignment="1" applyProtection="1">
      <alignment vertical="center"/>
      <protection locked="0"/>
    </xf>
    <xf numFmtId="42" fontId="14" fillId="0" borderId="0" xfId="0" applyNumberFormat="1" applyFont="1" applyAlignment="1" applyProtection="1">
      <alignment vertical="center"/>
      <protection locked="0"/>
    </xf>
    <xf numFmtId="167" fontId="14" fillId="0" borderId="0" xfId="0" applyNumberFormat="1" applyFont="1" applyAlignment="1" applyProtection="1">
      <alignment vertical="center"/>
      <protection locked="0"/>
    </xf>
    <xf numFmtId="0" fontId="14" fillId="3" borderId="0" xfId="0" applyFont="1" applyFill="1" applyAlignment="1" applyProtection="1">
      <alignment horizontal="center" vertical="center" wrapText="1"/>
      <protection locked="0"/>
    </xf>
    <xf numFmtId="191" fontId="14" fillId="3" borderId="0" xfId="0" applyNumberFormat="1" applyFont="1" applyFill="1" applyAlignment="1" applyProtection="1">
      <alignment horizontal="center" vertical="center" wrapText="1"/>
      <protection locked="0"/>
    </xf>
    <xf numFmtId="0" fontId="49" fillId="3" borderId="0" xfId="0" applyFont="1" applyFill="1" applyAlignment="1" applyProtection="1">
      <alignment horizontal="center" vertical="center" wrapText="1"/>
      <protection locked="0"/>
    </xf>
    <xf numFmtId="9" fontId="14" fillId="3" borderId="0" xfId="0" applyNumberFormat="1" applyFont="1" applyFill="1" applyAlignment="1" applyProtection="1">
      <alignment horizontal="center" vertical="center" wrapText="1"/>
      <protection locked="0"/>
    </xf>
    <xf numFmtId="165" fontId="14" fillId="3" borderId="0" xfId="0" applyNumberFormat="1" applyFont="1" applyFill="1" applyAlignment="1" applyProtection="1">
      <alignment horizontal="center" vertical="center" wrapText="1"/>
      <protection locked="0"/>
    </xf>
    <xf numFmtId="192" fontId="14" fillId="3" borderId="0" xfId="0" applyNumberFormat="1" applyFont="1" applyFill="1" applyAlignment="1" applyProtection="1">
      <alignment horizontal="center" vertical="center" wrapText="1"/>
      <protection locked="0"/>
    </xf>
    <xf numFmtId="42" fontId="14" fillId="3" borderId="0" xfId="0" applyNumberFormat="1" applyFont="1" applyFill="1" applyAlignment="1" applyProtection="1">
      <alignment horizontal="center" vertical="center" wrapText="1"/>
      <protection locked="0"/>
    </xf>
    <xf numFmtId="167" fontId="14" fillId="3" borderId="0" xfId="0" applyNumberFormat="1" applyFont="1" applyFill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0" borderId="116" xfId="0" applyFont="1" applyBorder="1" applyAlignment="1" applyProtection="1">
      <alignment vertical="center"/>
      <protection locked="0"/>
    </xf>
    <xf numFmtId="191" fontId="14" fillId="0" borderId="115" xfId="0" applyNumberFormat="1" applyFont="1" applyBorder="1" applyAlignment="1" applyProtection="1">
      <alignment horizontal="left" vertical="center"/>
      <protection locked="0"/>
    </xf>
    <xf numFmtId="9" fontId="4" fillId="0" borderId="115" xfId="0" applyNumberFormat="1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vertical="center"/>
      <protection locked="0"/>
    </xf>
    <xf numFmtId="0" fontId="111" fillId="0" borderId="0" xfId="0" applyFont="1" applyAlignment="1" applyProtection="1">
      <alignment vertical="center"/>
      <protection locked="0"/>
    </xf>
    <xf numFmtId="0" fontId="111" fillId="3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92" fontId="4" fillId="0" borderId="117" xfId="0" applyNumberFormat="1" applyFont="1" applyBorder="1" applyAlignment="1">
      <alignment horizontal="center" vertical="center"/>
    </xf>
    <xf numFmtId="167" fontId="4" fillId="0" borderId="115" xfId="0" applyNumberFormat="1" applyFont="1" applyBorder="1" applyAlignment="1">
      <alignment horizontal="center" vertical="center"/>
    </xf>
    <xf numFmtId="0" fontId="111" fillId="9" borderId="14" xfId="0" applyFont="1" applyFill="1" applyBorder="1" applyAlignment="1">
      <alignment vertical="center"/>
    </xf>
    <xf numFmtId="191" fontId="111" fillId="9" borderId="21" xfId="0" applyNumberFormat="1" applyFont="1" applyFill="1" applyBorder="1" applyAlignment="1">
      <alignment horizontal="left" vertical="center"/>
    </xf>
    <xf numFmtId="0" fontId="111" fillId="9" borderId="21" xfId="0" applyFont="1" applyFill="1" applyBorder="1" applyAlignment="1">
      <alignment horizontal="left" vertical="center"/>
    </xf>
    <xf numFmtId="0" fontId="111" fillId="9" borderId="21" xfId="0" applyFont="1" applyFill="1" applyBorder="1" applyAlignment="1">
      <alignment horizontal="center" vertical="center"/>
    </xf>
    <xf numFmtId="9" fontId="111" fillId="9" borderId="21" xfId="0" applyNumberFormat="1" applyFont="1" applyFill="1" applyBorder="1" applyAlignment="1">
      <alignment horizontal="center" vertical="center"/>
    </xf>
    <xf numFmtId="165" fontId="111" fillId="9" borderId="21" xfId="0" applyNumberFormat="1" applyFont="1" applyFill="1" applyBorder="1" applyAlignment="1">
      <alignment horizontal="center" vertical="center"/>
    </xf>
    <xf numFmtId="192" fontId="111" fillId="9" borderId="21" xfId="0" applyNumberFormat="1" applyFont="1" applyFill="1" applyBorder="1" applyAlignment="1">
      <alignment horizontal="center" vertical="center"/>
    </xf>
    <xf numFmtId="42" fontId="111" fillId="9" borderId="21" xfId="0" applyNumberFormat="1" applyFont="1" applyFill="1" applyBorder="1" applyAlignment="1">
      <alignment horizontal="left" vertical="center"/>
    </xf>
    <xf numFmtId="167" fontId="111" fillId="9" borderId="21" xfId="0" applyNumberFormat="1" applyFont="1" applyFill="1" applyBorder="1" applyAlignment="1">
      <alignment horizontal="center" vertical="center"/>
    </xf>
    <xf numFmtId="0" fontId="111" fillId="9" borderId="47" xfId="0" applyFont="1" applyFill="1" applyBorder="1" applyAlignment="1">
      <alignment vertical="center"/>
    </xf>
    <xf numFmtId="0" fontId="5" fillId="9" borderId="74" xfId="0" applyFont="1" applyFill="1" applyBorder="1" applyAlignment="1">
      <alignment horizontal="center" vertical="center" wrapText="1"/>
    </xf>
    <xf numFmtId="191" fontId="16" fillId="9" borderId="35" xfId="0" applyNumberFormat="1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9" fontId="5" fillId="9" borderId="35" xfId="0" applyNumberFormat="1" applyFont="1" applyFill="1" applyBorder="1" applyAlignment="1">
      <alignment horizontal="center" vertical="center" wrapText="1"/>
    </xf>
    <xf numFmtId="165" fontId="5" fillId="9" borderId="35" xfId="0" applyNumberFormat="1" applyFont="1" applyFill="1" applyBorder="1" applyAlignment="1">
      <alignment horizontal="center" vertical="center" wrapText="1"/>
    </xf>
    <xf numFmtId="192" fontId="5" fillId="9" borderId="35" xfId="0" applyNumberFormat="1" applyFont="1" applyFill="1" applyBorder="1" applyAlignment="1">
      <alignment horizontal="center" vertical="center" wrapText="1"/>
    </xf>
    <xf numFmtId="42" fontId="5" fillId="9" borderId="35" xfId="0" applyNumberFormat="1" applyFont="1" applyFill="1" applyBorder="1" applyAlignment="1">
      <alignment horizontal="center" vertical="center" wrapText="1"/>
    </xf>
    <xf numFmtId="167" fontId="5" fillId="9" borderId="35" xfId="0" applyNumberFormat="1" applyFont="1" applyFill="1" applyBorder="1" applyAlignment="1">
      <alignment horizontal="center" vertical="center" wrapText="1"/>
    </xf>
    <xf numFmtId="0" fontId="5" fillId="9" borderId="49" xfId="0" applyFont="1" applyFill="1" applyBorder="1" applyAlignment="1">
      <alignment horizontal="center" vertical="center" wrapText="1"/>
    </xf>
    <xf numFmtId="0" fontId="113" fillId="0" borderId="0" xfId="0" applyFont="1" applyAlignment="1" applyProtection="1">
      <alignment horizontal="center" vertical="center"/>
      <protection locked="0"/>
    </xf>
    <xf numFmtId="0" fontId="114" fillId="0" borderId="0" xfId="0" applyFont="1" applyAlignment="1" applyProtection="1">
      <alignment horizontal="center" vertical="center"/>
      <protection locked="0"/>
    </xf>
    <xf numFmtId="0" fontId="113" fillId="0" borderId="0" xfId="0" applyFont="1" applyAlignment="1" applyProtection="1">
      <alignment vertical="center"/>
      <protection locked="0"/>
    </xf>
    <xf numFmtId="0" fontId="115" fillId="2" borderId="2" xfId="0" applyFont="1" applyFill="1" applyBorder="1" applyAlignment="1" applyProtection="1">
      <alignment horizontal="center" vertical="center" wrapText="1"/>
      <protection locked="0"/>
    </xf>
    <xf numFmtId="0" fontId="115" fillId="2" borderId="8" xfId="0" applyFont="1" applyFill="1" applyBorder="1" applyAlignment="1" applyProtection="1">
      <alignment horizontal="center" vertical="center" wrapText="1"/>
      <protection locked="0"/>
    </xf>
    <xf numFmtId="0" fontId="115" fillId="2" borderId="13" xfId="0" applyFont="1" applyFill="1" applyBorder="1" applyAlignment="1" applyProtection="1">
      <alignment horizontal="center" vertical="center" wrapText="1"/>
      <protection locked="0"/>
    </xf>
    <xf numFmtId="0" fontId="113" fillId="0" borderId="16" xfId="0" applyFont="1" applyBorder="1" applyAlignment="1" applyProtection="1">
      <alignment horizontal="left" vertical="center" wrapText="1"/>
      <protection locked="0"/>
    </xf>
    <xf numFmtId="0" fontId="113" fillId="0" borderId="10" xfId="0" applyFont="1" applyBorder="1" applyAlignment="1" applyProtection="1">
      <alignment horizontal="center" vertical="center"/>
      <protection locked="0"/>
    </xf>
    <xf numFmtId="164" fontId="113" fillId="0" borderId="17" xfId="0" applyNumberFormat="1" applyFont="1" applyBorder="1" applyAlignment="1" applyProtection="1">
      <alignment vertical="center"/>
      <protection locked="0"/>
    </xf>
    <xf numFmtId="165" fontId="113" fillId="0" borderId="17" xfId="0" applyNumberFormat="1" applyFont="1" applyBorder="1" applyAlignment="1" applyProtection="1">
      <alignment horizontal="center" vertical="center" wrapText="1"/>
      <protection locked="0"/>
    </xf>
    <xf numFmtId="0" fontId="113" fillId="0" borderId="17" xfId="0" applyFont="1" applyBorder="1" applyAlignment="1" applyProtection="1">
      <alignment horizontal="center" vertical="center"/>
      <protection locked="0"/>
    </xf>
    <xf numFmtId="10" fontId="113" fillId="0" borderId="17" xfId="0" applyNumberFormat="1" applyFont="1" applyBorder="1" applyAlignment="1" applyProtection="1">
      <alignment vertical="center"/>
      <protection locked="0"/>
    </xf>
    <xf numFmtId="10" fontId="113" fillId="0" borderId="10" xfId="0" applyNumberFormat="1" applyFont="1" applyBorder="1" applyAlignment="1" applyProtection="1">
      <alignment horizontal="center" vertical="center" wrapText="1"/>
      <protection locked="0"/>
    </xf>
    <xf numFmtId="0" fontId="113" fillId="0" borderId="19" xfId="0" applyFont="1" applyBorder="1" applyAlignment="1" applyProtection="1">
      <alignment horizontal="center" vertical="center"/>
      <protection locked="0"/>
    </xf>
    <xf numFmtId="0" fontId="113" fillId="0" borderId="48" xfId="0" applyFont="1" applyBorder="1" applyAlignment="1" applyProtection="1">
      <alignment horizontal="left" vertical="center"/>
      <protection locked="0"/>
    </xf>
    <xf numFmtId="164" fontId="113" fillId="0" borderId="8" xfId="0" applyNumberFormat="1" applyFont="1" applyBorder="1" applyAlignment="1" applyProtection="1">
      <alignment vertical="center"/>
      <protection locked="0"/>
    </xf>
    <xf numFmtId="164" fontId="113" fillId="0" borderId="18" xfId="0" applyNumberFormat="1" applyFont="1" applyBorder="1" applyAlignment="1" applyProtection="1">
      <alignment horizontal="center" vertical="center"/>
      <protection locked="0"/>
    </xf>
    <xf numFmtId="164" fontId="113" fillId="0" borderId="18" xfId="0" applyNumberFormat="1" applyFont="1" applyBorder="1" applyAlignment="1" applyProtection="1">
      <alignment vertical="center"/>
      <protection locked="0"/>
    </xf>
    <xf numFmtId="165" fontId="113" fillId="0" borderId="22" xfId="0" applyNumberFormat="1" applyFont="1" applyBorder="1" applyAlignment="1" applyProtection="1">
      <alignment horizontal="center" vertical="center"/>
      <protection locked="0"/>
    </xf>
    <xf numFmtId="0" fontId="113" fillId="0" borderId="23" xfId="0" applyFont="1" applyBorder="1" applyAlignment="1" applyProtection="1">
      <alignment horizontal="center" vertical="center"/>
      <protection locked="0"/>
    </xf>
    <xf numFmtId="10" fontId="113" fillId="0" borderId="31" xfId="0" applyNumberFormat="1" applyFont="1" applyBorder="1" applyAlignment="1" applyProtection="1">
      <alignment vertical="center"/>
      <protection locked="0"/>
    </xf>
    <xf numFmtId="10" fontId="113" fillId="0" borderId="23" xfId="0" applyNumberFormat="1" applyFont="1" applyBorder="1" applyAlignment="1" applyProtection="1">
      <alignment horizontal="center" vertical="center"/>
      <protection locked="0"/>
    </xf>
    <xf numFmtId="0" fontId="113" fillId="0" borderId="24" xfId="0" applyFont="1" applyBorder="1" applyAlignment="1" applyProtection="1">
      <alignment horizontal="center" vertical="center"/>
      <protection locked="0"/>
    </xf>
    <xf numFmtId="0" fontId="116" fillId="3" borderId="16" xfId="0" applyFont="1" applyFill="1" applyBorder="1" applyAlignment="1" applyProtection="1">
      <alignment horizontal="left" vertical="center"/>
      <protection locked="0"/>
    </xf>
    <xf numFmtId="0" fontId="116" fillId="3" borderId="30" xfId="0" applyFont="1" applyFill="1" applyBorder="1" applyAlignment="1" applyProtection="1">
      <alignment horizontal="center" vertical="center"/>
      <protection locked="0"/>
    </xf>
    <xf numFmtId="164" fontId="116" fillId="3" borderId="10" xfId="0" applyNumberFormat="1" applyFont="1" applyFill="1" applyBorder="1" applyAlignment="1">
      <alignment vertical="center"/>
    </xf>
    <xf numFmtId="164" fontId="116" fillId="3" borderId="100" xfId="0" applyNumberFormat="1" applyFont="1" applyFill="1" applyBorder="1" applyAlignment="1">
      <alignment vertical="center"/>
    </xf>
    <xf numFmtId="0" fontId="113" fillId="0" borderId="39" xfId="0" applyFont="1" applyBorder="1" applyAlignment="1" applyProtection="1">
      <alignment horizontal="center" vertical="center"/>
      <protection locked="0"/>
    </xf>
    <xf numFmtId="10" fontId="113" fillId="0" borderId="39" xfId="0" applyNumberFormat="1" applyFont="1" applyBorder="1" applyAlignment="1" applyProtection="1">
      <alignment horizontal="center" vertical="center"/>
      <protection locked="0"/>
    </xf>
    <xf numFmtId="0" fontId="113" fillId="0" borderId="16" xfId="0" applyFont="1" applyBorder="1" applyAlignment="1" applyProtection="1">
      <alignment horizontal="left" vertical="center"/>
      <protection locked="0"/>
    </xf>
    <xf numFmtId="164" fontId="113" fillId="0" borderId="10" xfId="0" applyNumberFormat="1" applyFont="1" applyBorder="1" applyAlignment="1" applyProtection="1">
      <alignment vertical="center"/>
      <protection locked="0"/>
    </xf>
    <xf numFmtId="165" fontId="113" fillId="0" borderId="102" xfId="0" applyNumberFormat="1" applyFont="1" applyBorder="1" applyAlignment="1" applyProtection="1">
      <alignment horizontal="center" vertical="center"/>
      <protection locked="0"/>
    </xf>
    <xf numFmtId="0" fontId="113" fillId="0" borderId="102" xfId="0" applyFont="1" applyBorder="1" applyAlignment="1" applyProtection="1">
      <alignment horizontal="center" vertical="center"/>
      <protection locked="0"/>
    </xf>
    <xf numFmtId="10" fontId="113" fillId="0" borderId="102" xfId="0" applyNumberFormat="1" applyFont="1" applyBorder="1" applyAlignment="1" applyProtection="1">
      <alignment horizontal="center" vertical="center"/>
      <protection locked="0"/>
    </xf>
    <xf numFmtId="0" fontId="113" fillId="0" borderId="103" xfId="0" applyFont="1" applyBorder="1" applyAlignment="1" applyProtection="1">
      <alignment horizontal="center" vertical="center"/>
      <protection locked="0"/>
    </xf>
    <xf numFmtId="165" fontId="113" fillId="0" borderId="104" xfId="0" applyNumberFormat="1" applyFont="1" applyBorder="1" applyAlignment="1" applyProtection="1">
      <alignment horizontal="center" vertical="center"/>
      <protection locked="0"/>
    </xf>
    <xf numFmtId="0" fontId="113" fillId="0" borderId="104" xfId="0" applyFont="1" applyBorder="1" applyAlignment="1" applyProtection="1">
      <alignment horizontal="center" vertical="center"/>
      <protection locked="0"/>
    </xf>
    <xf numFmtId="10" fontId="113" fillId="0" borderId="104" xfId="0" applyNumberFormat="1" applyFont="1" applyBorder="1" applyAlignment="1" applyProtection="1">
      <alignment horizontal="center" vertical="center"/>
      <protection locked="0"/>
    </xf>
    <xf numFmtId="0" fontId="113" fillId="0" borderId="105" xfId="0" applyFont="1" applyBorder="1" applyAlignment="1" applyProtection="1">
      <alignment horizontal="center" vertical="center"/>
      <protection locked="0"/>
    </xf>
    <xf numFmtId="165" fontId="113" fillId="0" borderId="106" xfId="0" applyNumberFormat="1" applyFont="1" applyBorder="1" applyAlignment="1" applyProtection="1">
      <alignment horizontal="center" vertical="center"/>
      <protection locked="0"/>
    </xf>
    <xf numFmtId="0" fontId="113" fillId="0" borderId="106" xfId="0" applyFont="1" applyBorder="1" applyAlignment="1" applyProtection="1">
      <alignment horizontal="center" vertical="center"/>
      <protection locked="0"/>
    </xf>
    <xf numFmtId="10" fontId="113" fillId="0" borderId="106" xfId="0" applyNumberFormat="1" applyFont="1" applyBorder="1" applyAlignment="1" applyProtection="1">
      <alignment horizontal="center" vertical="center"/>
      <protection locked="0"/>
    </xf>
    <xf numFmtId="0" fontId="113" fillId="0" borderId="107" xfId="0" applyFont="1" applyBorder="1" applyAlignment="1" applyProtection="1">
      <alignment horizontal="center" vertical="center"/>
      <protection locked="0"/>
    </xf>
    <xf numFmtId="0" fontId="116" fillId="3" borderId="30" xfId="0" applyFont="1" applyFill="1" applyBorder="1" applyAlignment="1" applyProtection="1">
      <alignment vertical="center"/>
      <protection locked="0"/>
    </xf>
    <xf numFmtId="0" fontId="116" fillId="2" borderId="34" xfId="0" applyFont="1" applyFill="1" applyBorder="1" applyAlignment="1" applyProtection="1">
      <alignment horizontal="left" vertical="center"/>
      <protection locked="0"/>
    </xf>
    <xf numFmtId="0" fontId="116" fillId="2" borderId="35" xfId="0" applyFont="1" applyFill="1" applyBorder="1" applyAlignment="1" applyProtection="1">
      <alignment vertical="center"/>
      <protection locked="0"/>
    </xf>
    <xf numFmtId="164" fontId="116" fillId="2" borderId="10" xfId="0" applyNumberFormat="1" applyFont="1" applyFill="1" applyBorder="1" applyAlignment="1">
      <alignment vertical="center"/>
    </xf>
    <xf numFmtId="164" fontId="116" fillId="2" borderId="100" xfId="0" applyNumberFormat="1" applyFont="1" applyFill="1" applyBorder="1" applyAlignment="1">
      <alignment vertical="center"/>
    </xf>
    <xf numFmtId="0" fontId="116" fillId="0" borderId="36" xfId="0" applyFont="1" applyBorder="1" applyAlignment="1" applyProtection="1">
      <alignment horizontal="left" vertical="center"/>
      <protection locked="0"/>
    </xf>
    <xf numFmtId="0" fontId="116" fillId="0" borderId="0" xfId="0" applyFont="1" applyAlignment="1" applyProtection="1">
      <alignment vertical="center"/>
      <protection locked="0"/>
    </xf>
    <xf numFmtId="0" fontId="117" fillId="0" borderId="0" xfId="0" applyFont="1" applyAlignment="1" applyProtection="1">
      <alignment vertical="center"/>
      <protection locked="0"/>
    </xf>
    <xf numFmtId="0" fontId="118" fillId="0" borderId="0" xfId="0" applyFont="1" applyAlignment="1" applyProtection="1">
      <alignment vertical="center"/>
      <protection locked="0"/>
    </xf>
    <xf numFmtId="14" fontId="113" fillId="0" borderId="0" xfId="0" applyNumberFormat="1" applyFont="1" applyAlignment="1" applyProtection="1">
      <alignment horizontal="right" vertical="center"/>
      <protection locked="0"/>
    </xf>
    <xf numFmtId="0" fontId="5" fillId="0" borderId="39" xfId="0" applyFont="1" applyBorder="1" applyProtection="1">
      <protection locked="0"/>
    </xf>
    <xf numFmtId="0" fontId="5" fillId="9" borderId="14" xfId="0" applyFont="1" applyFill="1" applyBorder="1" applyAlignment="1" applyProtection="1">
      <alignment horizontal="center"/>
      <protection locked="0"/>
    </xf>
    <xf numFmtId="0" fontId="5" fillId="9" borderId="21" xfId="0" applyFont="1" applyFill="1" applyBorder="1" applyAlignment="1" applyProtection="1">
      <alignment horizontal="center"/>
      <protection locked="0"/>
    </xf>
    <xf numFmtId="0" fontId="5" fillId="9" borderId="47" xfId="0" applyFont="1" applyFill="1" applyBorder="1" applyAlignment="1" applyProtection="1">
      <alignment horizontal="center"/>
      <protection locked="0"/>
    </xf>
    <xf numFmtId="0" fontId="5" fillId="9" borderId="66" xfId="0" applyFont="1" applyFill="1" applyBorder="1" applyAlignment="1" applyProtection="1">
      <alignment horizontal="center"/>
      <protection locked="0"/>
    </xf>
    <xf numFmtId="164" fontId="4" fillId="0" borderId="76" xfId="2" applyNumberFormat="1" applyFont="1" applyBorder="1" applyProtection="1"/>
    <xf numFmtId="164" fontId="4" fillId="0" borderId="65" xfId="2" applyNumberFormat="1" applyFont="1" applyBorder="1" applyProtection="1"/>
    <xf numFmtId="164" fontId="4" fillId="0" borderId="65" xfId="2" applyNumberFormat="1" applyFont="1" applyBorder="1" applyProtection="1">
      <protection locked="0"/>
    </xf>
    <xf numFmtId="164" fontId="4" fillId="0" borderId="77" xfId="2" applyNumberFormat="1" applyFont="1" applyBorder="1" applyProtection="1">
      <protection locked="0"/>
    </xf>
    <xf numFmtId="164" fontId="4" fillId="0" borderId="79" xfId="2" applyNumberFormat="1" applyFont="1" applyBorder="1" applyProtection="1"/>
    <xf numFmtId="164" fontId="4" fillId="0" borderId="80" xfId="2" applyNumberFormat="1" applyFont="1" applyBorder="1" applyProtection="1"/>
    <xf numFmtId="164" fontId="4" fillId="0" borderId="80" xfId="2" applyNumberFormat="1" applyFont="1" applyBorder="1" applyProtection="1">
      <protection locked="0"/>
    </xf>
    <xf numFmtId="0" fontId="5" fillId="0" borderId="52" xfId="0" applyFont="1" applyBorder="1" applyProtection="1">
      <protection locked="0"/>
    </xf>
    <xf numFmtId="164" fontId="5" fillId="11" borderId="23" xfId="0" applyNumberFormat="1" applyFont="1" applyFill="1" applyBorder="1"/>
    <xf numFmtId="164" fontId="5" fillId="11" borderId="53" xfId="0" applyNumberFormat="1" applyFont="1" applyFill="1" applyBorder="1"/>
    <xf numFmtId="164" fontId="5" fillId="11" borderId="22" xfId="0" applyNumberFormat="1" applyFont="1" applyFill="1" applyBorder="1"/>
    <xf numFmtId="164" fontId="5" fillId="11" borderId="54" xfId="0" applyNumberFormat="1" applyFont="1" applyFill="1" applyBorder="1"/>
    <xf numFmtId="0" fontId="5" fillId="0" borderId="53" xfId="0" applyFont="1" applyBorder="1" applyProtection="1">
      <protection locked="0"/>
    </xf>
    <xf numFmtId="164" fontId="5" fillId="11" borderId="23" xfId="0" applyNumberFormat="1" applyFont="1" applyFill="1" applyBorder="1" applyProtection="1">
      <protection locked="0"/>
    </xf>
    <xf numFmtId="164" fontId="5" fillId="11" borderId="53" xfId="0" applyNumberFormat="1" applyFont="1" applyFill="1" applyBorder="1" applyProtection="1">
      <protection locked="0"/>
    </xf>
    <xf numFmtId="164" fontId="5" fillId="11" borderId="54" xfId="0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164" fontId="6" fillId="11" borderId="4" xfId="0" applyNumberFormat="1" applyFont="1" applyFill="1" applyBorder="1" applyProtection="1">
      <protection locked="0"/>
    </xf>
    <xf numFmtId="164" fontId="6" fillId="11" borderId="5" xfId="0" applyNumberFormat="1" applyFont="1" applyFill="1" applyBorder="1" applyProtection="1">
      <protection locked="0"/>
    </xf>
    <xf numFmtId="164" fontId="6" fillId="11" borderId="73" xfId="0" applyNumberFormat="1" applyFont="1" applyFill="1" applyBorder="1"/>
    <xf numFmtId="0" fontId="6" fillId="0" borderId="0" xfId="0" applyFont="1" applyProtection="1">
      <protection locked="0"/>
    </xf>
    <xf numFmtId="164" fontId="6" fillId="11" borderId="6" xfId="0" applyNumberFormat="1" applyFont="1" applyFill="1" applyBorder="1"/>
    <xf numFmtId="164" fontId="5" fillId="11" borderId="0" xfId="0" applyNumberFormat="1" applyFont="1" applyFill="1" applyProtection="1">
      <protection locked="0"/>
    </xf>
    <xf numFmtId="166" fontId="4" fillId="4" borderId="0" xfId="1" applyNumberFormat="1" applyFont="1" applyFill="1" applyProtection="1">
      <protection locked="0"/>
    </xf>
    <xf numFmtId="166" fontId="4" fillId="0" borderId="0" xfId="0" applyNumberFormat="1" applyFont="1" applyProtection="1">
      <protection locked="0"/>
    </xf>
    <xf numFmtId="191" fontId="4" fillId="0" borderId="0" xfId="0" applyNumberFormat="1" applyFont="1" applyAlignment="1">
      <alignment horizontal="left" vertical="center"/>
    </xf>
    <xf numFmtId="191" fontId="4" fillId="0" borderId="16" xfId="0" applyNumberFormat="1" applyFont="1" applyBorder="1" applyAlignment="1">
      <alignment horizontal="left" vertical="center"/>
    </xf>
    <xf numFmtId="191" fontId="4" fillId="0" borderId="36" xfId="0" applyNumberFormat="1" applyFont="1" applyBorder="1" applyAlignment="1">
      <alignment horizontal="left" vertical="center"/>
    </xf>
    <xf numFmtId="191" fontId="4" fillId="0" borderId="25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168" fontId="4" fillId="0" borderId="46" xfId="0" applyNumberFormat="1" applyFont="1" applyBorder="1" applyAlignment="1">
      <alignment horizontal="center" vertical="center"/>
    </xf>
    <xf numFmtId="168" fontId="4" fillId="0" borderId="13" xfId="0" applyNumberFormat="1" applyFont="1" applyBorder="1" applyAlignment="1">
      <alignment horizontal="center" vertical="center"/>
    </xf>
    <xf numFmtId="168" fontId="4" fillId="0" borderId="15" xfId="0" applyNumberFormat="1" applyFont="1" applyBorder="1" applyAlignment="1">
      <alignment horizontal="center" vertical="center"/>
    </xf>
    <xf numFmtId="168" fontId="4" fillId="0" borderId="66" xfId="0" applyNumberFormat="1" applyFont="1" applyBorder="1" applyAlignment="1">
      <alignment horizontal="center" vertical="center"/>
    </xf>
    <xf numFmtId="168" fontId="4" fillId="0" borderId="20" xfId="0" applyNumberFormat="1" applyFont="1" applyBorder="1" applyAlignment="1">
      <alignment horizontal="center" vertical="center"/>
    </xf>
    <xf numFmtId="168" fontId="4" fillId="0" borderId="17" xfId="0" applyNumberFormat="1" applyFont="1" applyBorder="1" applyAlignment="1">
      <alignment horizontal="center" vertical="center"/>
    </xf>
    <xf numFmtId="168" fontId="4" fillId="0" borderId="19" xfId="0" applyNumberFormat="1" applyFont="1" applyBorder="1" applyAlignment="1">
      <alignment horizontal="center" vertical="center"/>
    </xf>
    <xf numFmtId="168" fontId="4" fillId="0" borderId="70" xfId="0" applyNumberFormat="1" applyFont="1" applyBorder="1" applyAlignment="1">
      <alignment horizontal="center" vertical="center"/>
    </xf>
    <xf numFmtId="193" fontId="4" fillId="0" borderId="20" xfId="0" applyNumberFormat="1" applyFont="1" applyBorder="1" applyAlignment="1">
      <alignment horizontal="center" vertical="center"/>
    </xf>
    <xf numFmtId="193" fontId="4" fillId="0" borderId="17" xfId="0" applyNumberFormat="1" applyFont="1" applyBorder="1" applyAlignment="1">
      <alignment horizontal="center" vertical="center"/>
    </xf>
    <xf numFmtId="193" fontId="4" fillId="0" borderId="19" xfId="0" applyNumberFormat="1" applyFont="1" applyBorder="1" applyAlignment="1">
      <alignment horizontal="center" vertical="center"/>
    </xf>
    <xf numFmtId="193" fontId="4" fillId="0" borderId="70" xfId="0" applyNumberFormat="1" applyFont="1" applyBorder="1" applyAlignment="1">
      <alignment horizontal="center" vertical="center"/>
    </xf>
    <xf numFmtId="167" fontId="4" fillId="0" borderId="20" xfId="0" applyNumberFormat="1" applyFont="1" applyBorder="1" applyAlignment="1">
      <alignment horizontal="center" vertical="center"/>
    </xf>
    <xf numFmtId="167" fontId="4" fillId="0" borderId="17" xfId="0" applyNumberFormat="1" applyFont="1" applyBorder="1" applyAlignment="1">
      <alignment horizontal="center" vertical="center"/>
    </xf>
    <xf numFmtId="167" fontId="4" fillId="0" borderId="19" xfId="0" applyNumberFormat="1" applyFont="1" applyBorder="1" applyAlignment="1">
      <alignment horizontal="center" vertical="center"/>
    </xf>
    <xf numFmtId="167" fontId="4" fillId="0" borderId="70" xfId="0" applyNumberFormat="1" applyFont="1" applyBorder="1" applyAlignment="1">
      <alignment horizontal="center" vertical="center"/>
    </xf>
    <xf numFmtId="168" fontId="4" fillId="0" borderId="50" xfId="0" applyNumberFormat="1" applyFont="1" applyBorder="1" applyAlignment="1">
      <alignment horizontal="center" vertical="center"/>
    </xf>
    <xf numFmtId="168" fontId="4" fillId="0" borderId="31" xfId="0" applyNumberFormat="1" applyFont="1" applyBorder="1" applyAlignment="1">
      <alignment horizontal="center" vertical="center"/>
    </xf>
    <xf numFmtId="168" fontId="4" fillId="0" borderId="38" xfId="0" applyNumberFormat="1" applyFont="1" applyBorder="1" applyAlignment="1">
      <alignment horizontal="center" vertical="center"/>
    </xf>
    <xf numFmtId="191" fontId="4" fillId="9" borderId="26" xfId="0" applyNumberFormat="1" applyFont="1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/>
    </xf>
    <xf numFmtId="0" fontId="5" fillId="9" borderId="63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68" fontId="4" fillId="0" borderId="6" xfId="0" applyNumberFormat="1" applyFont="1" applyBorder="1" applyAlignment="1">
      <alignment horizontal="center" vertical="center" wrapText="1"/>
    </xf>
    <xf numFmtId="168" fontId="4" fillId="0" borderId="70" xfId="0" applyNumberFormat="1" applyFont="1" applyBorder="1" applyAlignment="1">
      <alignment horizontal="center" vertical="center" wrapText="1"/>
    </xf>
    <xf numFmtId="193" fontId="4" fillId="0" borderId="70" xfId="0" applyNumberFormat="1" applyFont="1" applyBorder="1" applyAlignment="1">
      <alignment horizontal="center" vertical="center" wrapText="1"/>
    </xf>
    <xf numFmtId="167" fontId="4" fillId="0" borderId="70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9" fontId="4" fillId="0" borderId="33" xfId="0" applyNumberFormat="1" applyFont="1" applyBorder="1" applyAlignment="1">
      <alignment horizontal="center" vertical="center"/>
    </xf>
    <xf numFmtId="0" fontId="115" fillId="2" borderId="69" xfId="0" applyFont="1" applyFill="1" applyBorder="1" applyAlignment="1" applyProtection="1">
      <alignment horizontal="center" vertical="center"/>
      <protection locked="0"/>
    </xf>
    <xf numFmtId="0" fontId="115" fillId="2" borderId="81" xfId="0" applyFont="1" applyFill="1" applyBorder="1" applyAlignment="1" applyProtection="1">
      <alignment horizontal="center" vertical="center"/>
      <protection locked="0"/>
    </xf>
    <xf numFmtId="0" fontId="115" fillId="2" borderId="46" xfId="0" applyFont="1" applyFill="1" applyBorder="1" applyAlignment="1" applyProtection="1">
      <alignment horizontal="center" vertical="center"/>
      <protection locked="0"/>
    </xf>
    <xf numFmtId="0" fontId="116" fillId="0" borderId="0" xfId="0" applyFont="1" applyAlignment="1" applyProtection="1">
      <alignment horizontal="left" vertical="center"/>
      <protection locked="0"/>
    </xf>
    <xf numFmtId="0" fontId="116" fillId="0" borderId="37" xfId="0" applyFont="1" applyBorder="1" applyAlignment="1" applyProtection="1">
      <alignment horizontal="right" vertical="center"/>
      <protection locked="0"/>
    </xf>
    <xf numFmtId="0" fontId="116" fillId="0" borderId="101" xfId="0" applyFont="1" applyBorder="1" applyAlignment="1" applyProtection="1">
      <alignment horizontal="right" vertical="center"/>
      <protection locked="0"/>
    </xf>
    <xf numFmtId="0" fontId="115" fillId="2" borderId="2" xfId="0" applyFont="1" applyFill="1" applyBorder="1" applyAlignment="1" applyProtection="1">
      <alignment horizontal="center" vertical="center" wrapText="1"/>
      <protection locked="0"/>
    </xf>
    <xf numFmtId="0" fontId="115" fillId="2" borderId="8" xfId="0" applyFont="1" applyFill="1" applyBorder="1" applyAlignment="1" applyProtection="1">
      <alignment horizontal="center" vertical="center" wrapText="1"/>
      <protection locked="0"/>
    </xf>
    <xf numFmtId="0" fontId="115" fillId="2" borderId="13" xfId="0" applyFont="1" applyFill="1" applyBorder="1" applyAlignment="1" applyProtection="1">
      <alignment horizontal="center" vertical="center" wrapText="1"/>
      <protection locked="0"/>
    </xf>
    <xf numFmtId="0" fontId="115" fillId="2" borderId="4" xfId="0" applyFont="1" applyFill="1" applyBorder="1" applyAlignment="1" applyProtection="1">
      <alignment horizontal="center" vertical="center"/>
      <protection locked="0"/>
    </xf>
    <xf numFmtId="0" fontId="115" fillId="2" borderId="5" xfId="0" applyFont="1" applyFill="1" applyBorder="1" applyAlignment="1" applyProtection="1">
      <alignment horizontal="center" vertical="center"/>
      <protection locked="0"/>
    </xf>
    <xf numFmtId="0" fontId="115" fillId="2" borderId="6" xfId="0" applyFont="1" applyFill="1" applyBorder="1" applyAlignment="1" applyProtection="1">
      <alignment horizontal="center" vertical="center"/>
      <protection locked="0"/>
    </xf>
    <xf numFmtId="0" fontId="115" fillId="2" borderId="14" xfId="0" applyFont="1" applyFill="1" applyBorder="1" applyAlignment="1" applyProtection="1">
      <alignment horizontal="center" vertical="center" wrapText="1"/>
      <protection locked="0"/>
    </xf>
    <xf numFmtId="0" fontId="115" fillId="2" borderId="47" xfId="0" applyFont="1" applyFill="1" applyBorder="1" applyAlignment="1" applyProtection="1">
      <alignment horizontal="center" vertical="center" wrapText="1"/>
      <protection locked="0"/>
    </xf>
    <xf numFmtId="0" fontId="115" fillId="2" borderId="8" xfId="0" applyFont="1" applyFill="1" applyBorder="1" applyAlignment="1" applyProtection="1">
      <alignment horizontal="center" vertical="center"/>
      <protection locked="0"/>
    </xf>
    <xf numFmtId="0" fontId="115" fillId="2" borderId="13" xfId="0" applyFont="1" applyFill="1" applyBorder="1" applyAlignment="1" applyProtection="1">
      <alignment horizontal="center" vertical="center"/>
      <protection locked="0"/>
    </xf>
    <xf numFmtId="0" fontId="115" fillId="2" borderId="12" xfId="0" applyFont="1" applyFill="1" applyBorder="1" applyAlignment="1" applyProtection="1">
      <alignment horizontal="center" vertical="center"/>
      <protection locked="0"/>
    </xf>
    <xf numFmtId="0" fontId="115" fillId="2" borderId="1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168" fontId="19" fillId="8" borderId="0" xfId="0" applyNumberFormat="1" applyFont="1" applyFill="1" applyAlignment="1" applyProtection="1">
      <alignment horizontal="right" vertical="center"/>
      <protection locked="0"/>
    </xf>
    <xf numFmtId="168" fontId="19" fillId="8" borderId="76" xfId="0" applyNumberFormat="1" applyFont="1" applyFill="1" applyBorder="1" applyAlignment="1" applyProtection="1">
      <alignment horizontal="right" vertical="center"/>
      <protection locked="0"/>
    </xf>
    <xf numFmtId="0" fontId="16" fillId="11" borderId="30" xfId="0" applyFont="1" applyFill="1" applyBorder="1" applyAlignment="1" applyProtection="1">
      <alignment horizontal="center" vertical="center"/>
      <protection locked="0"/>
    </xf>
    <xf numFmtId="0" fontId="16" fillId="10" borderId="30" xfId="0" applyFont="1" applyFill="1" applyBorder="1" applyAlignment="1" applyProtection="1">
      <alignment horizontal="center" vertical="center" wrapText="1"/>
      <protection locked="0"/>
    </xf>
    <xf numFmtId="0" fontId="16" fillId="10" borderId="11" xfId="0" applyFont="1" applyFill="1" applyBorder="1" applyAlignment="1" applyProtection="1">
      <alignment horizontal="center" vertical="center" wrapText="1"/>
      <protection locked="0"/>
    </xf>
    <xf numFmtId="168" fontId="16" fillId="0" borderId="0" xfId="0" applyNumberFormat="1" applyFont="1" applyAlignment="1" applyProtection="1">
      <alignment horizontal="center" vertical="center"/>
      <protection locked="0"/>
    </xf>
    <xf numFmtId="168" fontId="16" fillId="0" borderId="21" xfId="0" applyNumberFormat="1" applyFont="1" applyBorder="1" applyAlignment="1" applyProtection="1">
      <alignment horizontal="center" vertical="center"/>
      <protection locked="0"/>
    </xf>
    <xf numFmtId="168" fontId="16" fillId="11" borderId="17" xfId="0" applyNumberFormat="1" applyFont="1" applyFill="1" applyBorder="1" applyAlignment="1" applyProtection="1">
      <alignment horizontal="center" vertical="center"/>
      <protection locked="0"/>
    </xf>
    <xf numFmtId="6" fontId="16" fillId="11" borderId="17" xfId="0" applyNumberFormat="1" applyFont="1" applyFill="1" applyBorder="1" applyAlignment="1" applyProtection="1">
      <alignment horizontal="center" vertical="center"/>
      <protection locked="0"/>
    </xf>
    <xf numFmtId="6" fontId="16" fillId="11" borderId="18" xfId="0" applyNumberFormat="1" applyFont="1" applyFill="1" applyBorder="1" applyAlignment="1" applyProtection="1">
      <alignment horizontal="center" vertical="center"/>
      <protection locked="0"/>
    </xf>
    <xf numFmtId="6" fontId="16" fillId="11" borderId="13" xfId="0" applyNumberFormat="1" applyFont="1" applyFill="1" applyBorder="1" applyAlignment="1" applyProtection="1">
      <alignment horizontal="center" vertical="center"/>
      <protection locked="0"/>
    </xf>
    <xf numFmtId="168" fontId="16" fillId="11" borderId="74" xfId="0" applyNumberFormat="1" applyFont="1" applyFill="1" applyBorder="1" applyAlignment="1" applyProtection="1">
      <alignment horizontal="center" vertical="center"/>
      <protection locked="0"/>
    </xf>
    <xf numFmtId="168" fontId="16" fillId="11" borderId="35" xfId="0" applyNumberFormat="1" applyFont="1" applyFill="1" applyBorder="1" applyAlignment="1" applyProtection="1">
      <alignment horizontal="center" vertical="center"/>
      <protection locked="0"/>
    </xf>
    <xf numFmtId="168" fontId="16" fillId="11" borderId="49" xfId="0" applyNumberFormat="1" applyFont="1" applyFill="1" applyBorder="1" applyAlignment="1" applyProtection="1">
      <alignment horizontal="center" vertical="center"/>
      <protection locked="0"/>
    </xf>
    <xf numFmtId="168" fontId="16" fillId="11" borderId="9" xfId="0" applyNumberFormat="1" applyFont="1" applyFill="1" applyBorder="1" applyAlignment="1" applyProtection="1">
      <alignment horizontal="center" vertical="center"/>
      <protection locked="0"/>
    </xf>
    <xf numFmtId="168" fontId="16" fillId="11" borderId="0" xfId="0" applyNumberFormat="1" applyFont="1" applyFill="1" applyAlignment="1" applyProtection="1">
      <alignment horizontal="center" vertical="center"/>
      <protection locked="0"/>
    </xf>
    <xf numFmtId="168" fontId="16" fillId="11" borderId="76" xfId="0" applyNumberFormat="1" applyFont="1" applyFill="1" applyBorder="1" applyAlignment="1" applyProtection="1">
      <alignment horizontal="center" vertical="center"/>
      <protection locked="0"/>
    </xf>
    <xf numFmtId="168" fontId="16" fillId="11" borderId="14" xfId="0" applyNumberFormat="1" applyFont="1" applyFill="1" applyBorder="1" applyAlignment="1" applyProtection="1">
      <alignment horizontal="center" vertical="center"/>
      <protection locked="0"/>
    </xf>
    <xf numFmtId="168" fontId="16" fillId="11" borderId="21" xfId="0" applyNumberFormat="1" applyFont="1" applyFill="1" applyBorder="1" applyAlignment="1" applyProtection="1">
      <alignment horizontal="center" vertical="center"/>
      <protection locked="0"/>
    </xf>
    <xf numFmtId="168" fontId="16" fillId="11" borderId="47" xfId="0" applyNumberFormat="1" applyFont="1" applyFill="1" applyBorder="1" applyAlignment="1" applyProtection="1">
      <alignment horizontal="center" vertical="center"/>
      <protection locked="0"/>
    </xf>
    <xf numFmtId="168" fontId="16" fillId="10" borderId="18" xfId="0" applyNumberFormat="1" applyFont="1" applyFill="1" applyBorder="1" applyAlignment="1" applyProtection="1">
      <alignment horizontal="center" vertical="center"/>
      <protection locked="0"/>
    </xf>
    <xf numFmtId="167" fontId="16" fillId="11" borderId="14" xfId="3" applyNumberFormat="1" applyFont="1" applyFill="1" applyBorder="1" applyAlignment="1" applyProtection="1">
      <alignment horizontal="center" vertical="center"/>
      <protection locked="0"/>
    </xf>
    <xf numFmtId="167" fontId="16" fillId="11" borderId="21" xfId="3" applyNumberFormat="1" applyFont="1" applyFill="1" applyBorder="1" applyAlignment="1" applyProtection="1">
      <alignment horizontal="center" vertical="center"/>
      <protection locked="0"/>
    </xf>
    <xf numFmtId="167" fontId="16" fillId="11" borderId="47" xfId="3" applyNumberFormat="1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9" fillId="9" borderId="39" xfId="0" applyFont="1" applyFill="1" applyBorder="1" applyAlignment="1" applyProtection="1">
      <alignment horizontal="center" vertical="center"/>
      <protection locked="0"/>
    </xf>
    <xf numFmtId="0" fontId="9" fillId="9" borderId="75" xfId="0" applyFont="1" applyFill="1" applyBorder="1" applyAlignment="1" applyProtection="1">
      <alignment horizontal="center" vertical="center"/>
      <protection locked="0"/>
    </xf>
    <xf numFmtId="0" fontId="9" fillId="9" borderId="25" xfId="0" applyFont="1" applyFill="1" applyBorder="1" applyAlignment="1" applyProtection="1">
      <alignment horizontal="center" vertical="center"/>
      <protection locked="0"/>
    </xf>
    <xf numFmtId="0" fontId="9" fillId="9" borderId="21" xfId="0" applyFont="1" applyFill="1" applyBorder="1" applyAlignment="1" applyProtection="1">
      <alignment horizontal="center" vertical="center"/>
      <protection locked="0"/>
    </xf>
    <xf numFmtId="0" fontId="9" fillId="9" borderId="47" xfId="0" applyFont="1" applyFill="1" applyBorder="1" applyAlignment="1" applyProtection="1">
      <alignment horizontal="center" vertical="center"/>
      <protection locked="0"/>
    </xf>
    <xf numFmtId="0" fontId="5" fillId="9" borderId="4" xfId="0" applyFont="1" applyFill="1" applyBorder="1" applyAlignment="1">
      <alignment horizontal="center"/>
    </xf>
    <xf numFmtId="0" fontId="5" fillId="9" borderId="5" xfId="0" applyFont="1" applyFill="1" applyBorder="1"/>
    <xf numFmtId="0" fontId="5" fillId="9" borderId="6" xfId="0" applyFont="1" applyFill="1" applyBorder="1"/>
    <xf numFmtId="0" fontId="9" fillId="9" borderId="1" xfId="0" applyFont="1" applyFill="1" applyBorder="1" applyAlignment="1">
      <alignment horizontal="center" vertical="center"/>
    </xf>
    <xf numFmtId="0" fontId="9" fillId="9" borderId="39" xfId="0" applyFont="1" applyFill="1" applyBorder="1" applyAlignment="1">
      <alignment horizontal="center" vertical="center"/>
    </xf>
    <xf numFmtId="0" fontId="9" fillId="9" borderId="75" xfId="0" applyFont="1" applyFill="1" applyBorder="1" applyAlignment="1">
      <alignment horizontal="center" vertical="center"/>
    </xf>
    <xf numFmtId="0" fontId="9" fillId="9" borderId="25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9" borderId="4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5" fillId="9" borderId="26" xfId="0" applyFont="1" applyFill="1" applyBorder="1" applyAlignment="1">
      <alignment horizontal="center"/>
    </xf>
    <xf numFmtId="0" fontId="5" fillId="9" borderId="27" xfId="0" applyFont="1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11" borderId="55" xfId="0" applyFont="1" applyFill="1" applyBorder="1" applyAlignment="1">
      <alignment horizontal="center" vertical="center"/>
    </xf>
    <xf numFmtId="0" fontId="5" fillId="11" borderId="29" xfId="0" applyFont="1" applyFill="1" applyBorder="1" applyAlignment="1">
      <alignment horizontal="center" vertical="center"/>
    </xf>
    <xf numFmtId="0" fontId="16" fillId="9" borderId="3" xfId="0" applyFont="1" applyFill="1" applyBorder="1" applyAlignment="1" applyProtection="1">
      <alignment horizontal="center" vertical="center"/>
      <protection locked="0"/>
    </xf>
    <xf numFmtId="0" fontId="16" fillId="9" borderId="75" xfId="0" applyFont="1" applyFill="1" applyBorder="1" applyAlignment="1" applyProtection="1">
      <alignment horizontal="center" vertical="center"/>
      <protection locked="0"/>
    </xf>
    <xf numFmtId="0" fontId="16" fillId="11" borderId="3" xfId="0" applyFont="1" applyFill="1" applyBorder="1" applyAlignment="1" applyProtection="1">
      <alignment horizontal="center" vertical="center"/>
      <protection locked="0"/>
    </xf>
    <xf numFmtId="0" fontId="16" fillId="11" borderId="61" xfId="0" applyFont="1" applyFill="1" applyBorder="1" applyAlignment="1" applyProtection="1">
      <alignment horizontal="center" vertical="center"/>
      <protection locked="0"/>
    </xf>
    <xf numFmtId="191" fontId="8" fillId="0" borderId="34" xfId="6" applyNumberFormat="1" applyBorder="1" applyAlignment="1">
      <alignment horizontal="left" vertical="top"/>
    </xf>
    <xf numFmtId="191" fontId="8" fillId="0" borderId="7" xfId="6" applyNumberFormat="1" applyBorder="1" applyAlignment="1">
      <alignment horizontal="left" vertical="top"/>
    </xf>
    <xf numFmtId="191" fontId="8" fillId="0" borderId="25" xfId="6" applyNumberFormat="1" applyBorder="1" applyAlignment="1">
      <alignment horizontal="left" vertical="top"/>
    </xf>
    <xf numFmtId="191" fontId="8" fillId="0" borderId="52" xfId="6" applyNumberFormat="1" applyBorder="1" applyAlignment="1">
      <alignment horizontal="left" vertical="top"/>
    </xf>
    <xf numFmtId="0" fontId="5" fillId="9" borderId="1" xfId="6" applyFont="1" applyFill="1" applyBorder="1" applyAlignment="1">
      <alignment horizontal="center" vertical="center" wrapText="1"/>
    </xf>
    <xf numFmtId="0" fontId="5" fillId="9" borderId="7" xfId="6" applyFont="1" applyFill="1" applyBorder="1" applyAlignment="1">
      <alignment horizontal="center" vertical="center" wrapText="1"/>
    </xf>
    <xf numFmtId="0" fontId="5" fillId="9" borderId="25" xfId="6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9" borderId="39" xfId="6" applyFont="1" applyFill="1" applyBorder="1" applyAlignment="1">
      <alignment horizontal="center" vertical="center"/>
    </xf>
    <xf numFmtId="0" fontId="5" fillId="9" borderId="61" xfId="6" applyFont="1" applyFill="1" applyBorder="1" applyAlignment="1">
      <alignment horizontal="center" vertical="center"/>
    </xf>
    <xf numFmtId="0" fontId="5" fillId="9" borderId="0" xfId="6" applyFont="1" applyFill="1" applyAlignment="1">
      <alignment horizontal="center" vertical="center"/>
    </xf>
    <xf numFmtId="0" fontId="5" fillId="9" borderId="65" xfId="6" applyFont="1" applyFill="1" applyBorder="1" applyAlignment="1">
      <alignment horizontal="center" vertical="center"/>
    </xf>
    <xf numFmtId="0" fontId="5" fillId="9" borderId="21" xfId="6" applyFont="1" applyFill="1" applyBorder="1" applyAlignment="1">
      <alignment horizontal="center" vertical="center"/>
    </xf>
    <xf numFmtId="0" fontId="5" fillId="9" borderId="66" xfId="6" applyFont="1" applyFill="1" applyBorder="1" applyAlignment="1">
      <alignment horizontal="center" vertical="center"/>
    </xf>
    <xf numFmtId="182" fontId="5" fillId="9" borderId="5" xfId="6" applyNumberFormat="1" applyFont="1" applyFill="1" applyBorder="1" applyAlignment="1">
      <alignment horizontal="center" vertical="center" wrapText="1"/>
    </xf>
    <xf numFmtId="0" fontId="5" fillId="9" borderId="56" xfId="6" applyFont="1" applyFill="1" applyBorder="1" applyAlignment="1">
      <alignment horizontal="center" vertical="center" wrapText="1"/>
    </xf>
    <xf numFmtId="0" fontId="5" fillId="9" borderId="5" xfId="6" applyFont="1" applyFill="1" applyBorder="1" applyAlignment="1">
      <alignment horizontal="center" vertical="center" wrapText="1"/>
    </xf>
    <xf numFmtId="0" fontId="5" fillId="9" borderId="6" xfId="6" applyFont="1" applyFill="1" applyBorder="1" applyAlignment="1">
      <alignment horizontal="center" vertical="center" wrapText="1"/>
    </xf>
    <xf numFmtId="182" fontId="5" fillId="9" borderId="76" xfId="6" applyNumberFormat="1" applyFont="1" applyFill="1" applyBorder="1" applyAlignment="1">
      <alignment horizontal="center" vertical="center" wrapText="1"/>
    </xf>
    <xf numFmtId="182" fontId="5" fillId="9" borderId="47" xfId="6" applyNumberFormat="1" applyFont="1" applyFill="1" applyBorder="1" applyAlignment="1">
      <alignment horizontal="center" vertical="center" wrapText="1"/>
    </xf>
    <xf numFmtId="182" fontId="5" fillId="9" borderId="8" xfId="6" applyNumberFormat="1" applyFont="1" applyFill="1" applyBorder="1" applyAlignment="1">
      <alignment horizontal="center" vertical="center" wrapText="1"/>
    </xf>
    <xf numFmtId="182" fontId="5" fillId="9" borderId="13" xfId="6" applyNumberFormat="1" applyFont="1" applyFill="1" applyBorder="1" applyAlignment="1">
      <alignment horizontal="center" vertical="center" wrapText="1"/>
    </xf>
    <xf numFmtId="182" fontId="5" fillId="9" borderId="81" xfId="6" applyNumberFormat="1" applyFont="1" applyFill="1" applyBorder="1" applyAlignment="1">
      <alignment horizontal="center" vertical="center" wrapText="1"/>
    </xf>
    <xf numFmtId="182" fontId="5" fillId="9" borderId="46" xfId="6" applyNumberFormat="1" applyFont="1" applyFill="1" applyBorder="1" applyAlignment="1">
      <alignment horizontal="center" vertical="center" wrapText="1"/>
    </xf>
    <xf numFmtId="42" fontId="4" fillId="0" borderId="86" xfId="6" applyNumberFormat="1" applyFont="1" applyBorder="1" applyAlignment="1">
      <alignment horizontal="left" vertical="center"/>
    </xf>
    <xf numFmtId="42" fontId="4" fillId="0" borderId="12" xfId="6" applyNumberFormat="1" applyFont="1" applyBorder="1" applyAlignment="1">
      <alignment horizontal="left" vertical="center"/>
    </xf>
    <xf numFmtId="42" fontId="4" fillId="0" borderId="15" xfId="6" applyNumberFormat="1" applyFont="1" applyBorder="1" applyAlignment="1">
      <alignment horizontal="left" vertical="center"/>
    </xf>
    <xf numFmtId="0" fontId="5" fillId="10" borderId="53" xfId="0" applyFont="1" applyFill="1" applyBorder="1" applyAlignment="1">
      <alignment horizontal="right" vertical="center"/>
    </xf>
    <xf numFmtId="0" fontId="5" fillId="10" borderId="22" xfId="0" applyFont="1" applyFill="1" applyBorder="1" applyAlignment="1">
      <alignment horizontal="right" vertical="center"/>
    </xf>
    <xf numFmtId="42" fontId="103" fillId="0" borderId="18" xfId="6" applyNumberFormat="1" applyFont="1" applyBorder="1" applyAlignment="1">
      <alignment horizontal="left" vertical="center"/>
    </xf>
    <xf numFmtId="42" fontId="103" fillId="0" borderId="8" xfId="6" applyNumberFormat="1" applyFont="1" applyBorder="1" applyAlignment="1">
      <alignment horizontal="left" vertical="center"/>
    </xf>
    <xf numFmtId="42" fontId="103" fillId="0" borderId="85" xfId="6" applyNumberFormat="1" applyFont="1" applyBorder="1" applyAlignment="1">
      <alignment horizontal="left" vertical="center"/>
    </xf>
    <xf numFmtId="42" fontId="4" fillId="0" borderId="74" xfId="6" applyNumberFormat="1" applyFont="1" applyBorder="1" applyAlignment="1">
      <alignment horizontal="left" vertical="center"/>
    </xf>
    <xf numFmtId="42" fontId="4" fillId="0" borderId="9" xfId="6" applyNumberFormat="1" applyFont="1" applyBorder="1" applyAlignment="1">
      <alignment horizontal="left" vertical="center"/>
    </xf>
    <xf numFmtId="42" fontId="4" fillId="0" borderId="23" xfId="6" applyNumberFormat="1" applyFont="1" applyBorder="1" applyAlignment="1">
      <alignment horizontal="left" vertical="center"/>
    </xf>
    <xf numFmtId="182" fontId="102" fillId="0" borderId="35" xfId="6" applyNumberFormat="1" applyFont="1" applyBorder="1" applyAlignment="1">
      <alignment horizontal="left" vertical="center"/>
    </xf>
    <xf numFmtId="182" fontId="102" fillId="0" borderId="67" xfId="6" applyNumberFormat="1" applyFont="1" applyBorder="1" applyAlignment="1">
      <alignment horizontal="left" vertical="center"/>
    </xf>
    <xf numFmtId="165" fontId="103" fillId="0" borderId="49" xfId="6" applyNumberFormat="1" applyFont="1" applyBorder="1" applyAlignment="1">
      <alignment horizontal="center" vertical="center"/>
    </xf>
    <xf numFmtId="165" fontId="103" fillId="0" borderId="76" xfId="6" applyNumberFormat="1" applyFont="1" applyBorder="1" applyAlignment="1">
      <alignment horizontal="center" vertical="center"/>
    </xf>
    <xf numFmtId="165" fontId="103" fillId="0" borderId="47" xfId="6" applyNumberFormat="1" applyFont="1" applyBorder="1" applyAlignment="1">
      <alignment horizontal="center" vertical="center"/>
    </xf>
    <xf numFmtId="42" fontId="103" fillId="0" borderId="13" xfId="6" applyNumberFormat="1" applyFont="1" applyBorder="1" applyAlignment="1">
      <alignment horizontal="left" vertical="center"/>
    </xf>
    <xf numFmtId="42" fontId="4" fillId="0" borderId="14" xfId="6" applyNumberFormat="1" applyFont="1" applyBorder="1" applyAlignment="1">
      <alignment horizontal="left" vertical="center"/>
    </xf>
    <xf numFmtId="165" fontId="103" fillId="0" borderId="22" xfId="6" applyNumberFormat="1" applyFont="1" applyBorder="1" applyAlignment="1">
      <alignment horizontal="center" vertical="center"/>
    </xf>
    <xf numFmtId="165" fontId="103" fillId="0" borderId="48" xfId="6" applyNumberFormat="1" applyFont="1" applyBorder="1" applyAlignment="1">
      <alignment horizontal="center" vertical="center"/>
    </xf>
    <xf numFmtId="165" fontId="103" fillId="0" borderId="81" xfId="6" applyNumberFormat="1" applyFont="1" applyBorder="1" applyAlignment="1">
      <alignment horizontal="center" vertical="center"/>
    </xf>
    <xf numFmtId="165" fontId="103" fillId="0" borderId="71" xfId="6" applyNumberFormat="1" applyFont="1" applyBorder="1" applyAlignment="1">
      <alignment horizontal="center" vertical="center"/>
    </xf>
    <xf numFmtId="42" fontId="4" fillId="0" borderId="24" xfId="6" applyNumberFormat="1" applyFont="1" applyBorder="1" applyAlignment="1">
      <alignment horizontal="left" vertical="center"/>
    </xf>
    <xf numFmtId="42" fontId="30" fillId="8" borderId="0" xfId="6" applyNumberFormat="1" applyFont="1" applyFill="1" applyAlignment="1">
      <alignment horizontal="center" vertical="center" wrapText="1"/>
    </xf>
    <xf numFmtId="165" fontId="103" fillId="0" borderId="46" xfId="6" applyNumberFormat="1" applyFont="1" applyBorder="1" applyAlignment="1">
      <alignment horizontal="center" vertical="center"/>
    </xf>
    <xf numFmtId="0" fontId="22" fillId="9" borderId="41" xfId="0" applyFont="1" applyFill="1" applyBorder="1" applyAlignment="1">
      <alignment horizontal="center" vertical="center" textRotation="255" shrinkToFit="1"/>
    </xf>
    <xf numFmtId="0" fontId="22" fillId="9" borderId="24" xfId="0" applyFont="1" applyFill="1" applyBorder="1" applyAlignment="1">
      <alignment horizontal="center" vertical="center" textRotation="255" shrinkToFit="1"/>
    </xf>
    <xf numFmtId="0" fontId="5" fillId="9" borderId="52" xfId="0" applyFont="1" applyFill="1" applyBorder="1" applyAlignment="1">
      <alignment horizontal="right"/>
    </xf>
    <xf numFmtId="0" fontId="5" fillId="9" borderId="22" xfId="0" applyFont="1" applyFill="1" applyBorder="1" applyAlignment="1">
      <alignment horizontal="right"/>
    </xf>
    <xf numFmtId="0" fontId="30" fillId="4" borderId="0" xfId="0" applyFont="1" applyFill="1" applyAlignment="1">
      <alignment horizontal="left" vertical="top" wrapText="1"/>
    </xf>
    <xf numFmtId="0" fontId="16" fillId="9" borderId="39" xfId="0" applyFont="1" applyFill="1" applyBorder="1" applyAlignment="1">
      <alignment horizontal="center" vertical="center"/>
    </xf>
    <xf numFmtId="0" fontId="16" fillId="9" borderId="6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6" fillId="9" borderId="25" xfId="0" applyFont="1" applyFill="1" applyBorder="1" applyAlignment="1">
      <alignment horizontal="center" vertical="center"/>
    </xf>
    <xf numFmtId="0" fontId="16" fillId="9" borderId="39" xfId="0" applyFont="1" applyFill="1" applyBorder="1" applyAlignment="1" applyProtection="1">
      <alignment horizontal="center" vertical="center" wrapText="1"/>
      <protection locked="0"/>
    </xf>
    <xf numFmtId="0" fontId="16" fillId="9" borderId="21" xfId="0" applyFont="1" applyFill="1" applyBorder="1" applyAlignment="1" applyProtection="1">
      <alignment horizontal="center" vertical="center" wrapText="1"/>
      <protection locked="0"/>
    </xf>
    <xf numFmtId="0" fontId="38" fillId="0" borderId="56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73" xfId="0" applyFont="1" applyBorder="1" applyAlignment="1">
      <alignment horizontal="left" vertical="center"/>
    </xf>
    <xf numFmtId="0" fontId="38" fillId="0" borderId="36" xfId="0" applyFont="1" applyBorder="1" applyAlignment="1">
      <alignment horizontal="left" vertical="center"/>
    </xf>
    <xf numFmtId="0" fontId="38" fillId="0" borderId="37" xfId="0" applyFont="1" applyBorder="1" applyAlignment="1">
      <alignment horizontal="left" vertical="center"/>
    </xf>
    <xf numFmtId="0" fontId="38" fillId="0" borderId="51" xfId="0" applyFont="1" applyBorder="1" applyAlignment="1">
      <alignment horizontal="left" vertical="center"/>
    </xf>
    <xf numFmtId="0" fontId="20" fillId="0" borderId="4" xfId="0" applyFont="1" applyBorder="1" applyAlignment="1" applyProtection="1">
      <alignment horizontal="left" vertical="center"/>
      <protection locked="0"/>
    </xf>
    <xf numFmtId="0" fontId="20" fillId="0" borderId="5" xfId="0" applyFont="1" applyBorder="1" applyAlignment="1" applyProtection="1">
      <alignment horizontal="left" vertical="center"/>
      <protection locked="0"/>
    </xf>
    <xf numFmtId="0" fontId="20" fillId="0" borderId="73" xfId="0" applyFont="1" applyBorder="1" applyAlignment="1" applyProtection="1">
      <alignment horizontal="lef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16" fillId="9" borderId="39" xfId="0" applyFont="1" applyFill="1" applyBorder="1" applyAlignment="1" applyProtection="1">
      <alignment horizontal="center" vertical="center"/>
      <protection locked="0"/>
    </xf>
    <xf numFmtId="0" fontId="16" fillId="9" borderId="61" xfId="0" applyFont="1" applyFill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73" xfId="0" applyFont="1" applyBorder="1" applyAlignment="1" applyProtection="1">
      <alignment horizontal="center" vertical="center"/>
      <protection locked="0"/>
    </xf>
    <xf numFmtId="0" fontId="16" fillId="9" borderId="25" xfId="0" applyFont="1" applyFill="1" applyBorder="1" applyAlignment="1" applyProtection="1">
      <alignment horizontal="center" vertical="center"/>
      <protection locked="0"/>
    </xf>
    <xf numFmtId="0" fontId="38" fillId="0" borderId="56" xfId="0" applyFont="1" applyBorder="1" applyAlignment="1" applyProtection="1">
      <alignment horizontal="left" vertical="center"/>
      <protection locked="0"/>
    </xf>
    <xf numFmtId="0" fontId="38" fillId="0" borderId="5" xfId="0" applyFont="1" applyBorder="1" applyAlignment="1" applyProtection="1">
      <alignment horizontal="left" vertical="center"/>
      <protection locked="0"/>
    </xf>
    <xf numFmtId="0" fontId="38" fillId="0" borderId="6" xfId="0" applyFont="1" applyBorder="1" applyAlignment="1" applyProtection="1">
      <alignment horizontal="left" vertical="center"/>
      <protection locked="0"/>
    </xf>
    <xf numFmtId="0" fontId="38" fillId="0" borderId="36" xfId="0" applyFont="1" applyBorder="1" applyAlignment="1" applyProtection="1">
      <alignment horizontal="left" vertical="center"/>
      <protection locked="0"/>
    </xf>
    <xf numFmtId="0" fontId="38" fillId="0" borderId="37" xfId="0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left" vertical="center"/>
      <protection locked="0"/>
    </xf>
    <xf numFmtId="0" fontId="38" fillId="0" borderId="73" xfId="0" applyFont="1" applyBorder="1" applyAlignment="1" applyProtection="1">
      <alignment horizontal="left" vertical="center"/>
      <protection locked="0"/>
    </xf>
    <xf numFmtId="0" fontId="38" fillId="0" borderId="51" xfId="0" applyFont="1" applyBorder="1" applyAlignment="1" applyProtection="1">
      <alignment horizontal="left" vertical="center"/>
      <protection locked="0"/>
    </xf>
    <xf numFmtId="0" fontId="16" fillId="9" borderId="27" xfId="0" applyFont="1" applyFill="1" applyBorder="1" applyAlignment="1" applyProtection="1">
      <alignment horizontal="center"/>
      <protection locked="0"/>
    </xf>
    <xf numFmtId="0" fontId="5" fillId="9" borderId="4" xfId="0" applyFont="1" applyFill="1" applyBorder="1" applyAlignment="1" applyProtection="1">
      <alignment horizontal="center"/>
      <protection locked="0"/>
    </xf>
    <xf numFmtId="0" fontId="5" fillId="9" borderId="5" xfId="0" applyFont="1" applyFill="1" applyBorder="1" applyAlignment="1" applyProtection="1">
      <alignment horizontal="center"/>
      <protection locked="0"/>
    </xf>
    <xf numFmtId="0" fontId="5" fillId="9" borderId="73" xfId="0" applyFont="1" applyFill="1" applyBorder="1" applyAlignment="1" applyProtection="1">
      <alignment horizontal="center"/>
      <protection locked="0"/>
    </xf>
    <xf numFmtId="0" fontId="5" fillId="9" borderId="6" xfId="0" applyFont="1" applyFill="1" applyBorder="1" applyAlignment="1" applyProtection="1">
      <alignment horizontal="center"/>
      <protection locked="0"/>
    </xf>
    <xf numFmtId="0" fontId="16" fillId="9" borderId="39" xfId="0" applyFont="1" applyFill="1" applyBorder="1" applyAlignment="1">
      <alignment horizontal="right" vertical="center"/>
    </xf>
    <xf numFmtId="0" fontId="16" fillId="9" borderId="53" xfId="0" applyFont="1" applyFill="1" applyBorder="1" applyAlignment="1">
      <alignment horizontal="right" vertical="center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52" xfId="0" applyFont="1" applyFill="1" applyBorder="1" applyAlignment="1" applyProtection="1">
      <alignment horizontal="right" vertical="center"/>
      <protection locked="0"/>
    </xf>
    <xf numFmtId="0" fontId="15" fillId="0" borderId="16" xfId="0" applyFont="1" applyBorder="1" applyAlignment="1" applyProtection="1">
      <alignment horizontal="left" vertical="center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169" fontId="47" fillId="10" borderId="52" xfId="0" applyNumberFormat="1" applyFont="1" applyFill="1" applyBorder="1" applyAlignment="1" applyProtection="1">
      <alignment horizontal="right" vertical="center"/>
      <protection locked="0"/>
    </xf>
    <xf numFmtId="169" fontId="47" fillId="10" borderId="53" xfId="0" applyNumberFormat="1" applyFont="1" applyFill="1" applyBorder="1" applyAlignment="1" applyProtection="1">
      <alignment horizontal="right" vertical="center"/>
      <protection locked="0"/>
    </xf>
    <xf numFmtId="172" fontId="45" fillId="10" borderId="1" xfId="0" applyNumberFormat="1" applyFont="1" applyFill="1" applyBorder="1" applyAlignment="1" applyProtection="1">
      <alignment horizontal="left" vertical="center"/>
      <protection locked="0"/>
    </xf>
    <xf numFmtId="172" fontId="45" fillId="10" borderId="39" xfId="0" applyNumberFormat="1" applyFont="1" applyFill="1" applyBorder="1" applyAlignment="1" applyProtection="1">
      <alignment horizontal="left" vertical="center"/>
      <protection locked="0"/>
    </xf>
    <xf numFmtId="171" fontId="48" fillId="7" borderId="7" xfId="0" applyNumberFormat="1" applyFont="1" applyFill="1" applyBorder="1" applyAlignment="1" applyProtection="1">
      <alignment horizontal="center" vertical="center"/>
      <protection locked="0"/>
    </xf>
    <xf numFmtId="171" fontId="48" fillId="7" borderId="0" xfId="0" applyNumberFormat="1" applyFont="1" applyFill="1" applyAlignment="1" applyProtection="1">
      <alignment horizontal="center" vertical="center"/>
      <protection locked="0"/>
    </xf>
    <xf numFmtId="169" fontId="47" fillId="8" borderId="7" xfId="0" applyNumberFormat="1" applyFont="1" applyFill="1" applyBorder="1" applyAlignment="1" applyProtection="1">
      <alignment horizontal="center" vertical="center"/>
      <protection locked="0"/>
    </xf>
    <xf numFmtId="169" fontId="47" fillId="8" borderId="0" xfId="0" applyNumberFormat="1" applyFont="1" applyFill="1" applyAlignment="1" applyProtection="1">
      <alignment horizontal="center" vertical="center"/>
      <protection locked="0"/>
    </xf>
    <xf numFmtId="169" fontId="47" fillId="10" borderId="7" xfId="0" applyNumberFormat="1" applyFont="1" applyFill="1" applyBorder="1" applyAlignment="1" applyProtection="1">
      <alignment horizontal="right" vertical="center"/>
      <protection locked="0"/>
    </xf>
    <xf numFmtId="169" fontId="47" fillId="10" borderId="0" xfId="0" applyNumberFormat="1" applyFont="1" applyFill="1" applyAlignment="1" applyProtection="1">
      <alignment horizontal="right" vertical="center"/>
      <protection locked="0"/>
    </xf>
    <xf numFmtId="0" fontId="18" fillId="14" borderId="26" xfId="0" applyFont="1" applyFill="1" applyBorder="1" applyAlignment="1">
      <alignment horizontal="left" vertical="center"/>
    </xf>
    <xf numFmtId="0" fontId="18" fillId="14" borderId="27" xfId="0" applyFont="1" applyFill="1" applyBorder="1" applyAlignment="1">
      <alignment horizontal="left" vertical="center"/>
    </xf>
    <xf numFmtId="0" fontId="18" fillId="14" borderId="1" xfId="0" applyFont="1" applyFill="1" applyBorder="1" applyAlignment="1">
      <alignment horizontal="left" vertical="center"/>
    </xf>
    <xf numFmtId="0" fontId="18" fillId="14" borderId="39" xfId="0" applyFont="1" applyFill="1" applyBorder="1" applyAlignment="1">
      <alignment horizontal="left" vertical="center"/>
    </xf>
    <xf numFmtId="0" fontId="16" fillId="5" borderId="56" xfId="0" applyFont="1" applyFill="1" applyBorder="1" applyAlignment="1" applyProtection="1">
      <alignment horizontal="left" vertical="center"/>
      <protection locked="0"/>
    </xf>
    <xf numFmtId="0" fontId="16" fillId="5" borderId="5" xfId="0" applyFont="1" applyFill="1" applyBorder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7" xfId="0" quotePrefix="1" applyFont="1" applyBorder="1" applyAlignment="1" applyProtection="1">
      <alignment horizontal="left" vertical="center"/>
      <protection locked="0"/>
    </xf>
    <xf numFmtId="0" fontId="14" fillId="0" borderId="0" xfId="0" quotePrefix="1" applyFont="1" applyAlignment="1" applyProtection="1">
      <alignment horizontal="left" vertical="center"/>
      <protection locked="0"/>
    </xf>
    <xf numFmtId="0" fontId="16" fillId="9" borderId="56" xfId="4" applyFont="1" applyFill="1" applyBorder="1" applyAlignment="1" applyProtection="1">
      <alignment horizontal="left" vertical="center"/>
      <protection locked="0"/>
    </xf>
    <xf numFmtId="0" fontId="16" fillId="9" borderId="5" xfId="4" applyFont="1" applyFill="1" applyBorder="1" applyAlignment="1" applyProtection="1">
      <alignment horizontal="left" vertical="center"/>
      <protection locked="0"/>
    </xf>
    <xf numFmtId="0" fontId="16" fillId="9" borderId="6" xfId="4" applyFont="1" applyFill="1" applyBorder="1" applyAlignment="1" applyProtection="1">
      <alignment horizontal="left" vertical="center"/>
      <protection locked="0"/>
    </xf>
    <xf numFmtId="0" fontId="16" fillId="6" borderId="26" xfId="0" applyFont="1" applyFill="1" applyBorder="1" applyAlignment="1" applyProtection="1">
      <alignment horizontal="left" vertical="center"/>
      <protection locked="0"/>
    </xf>
    <xf numFmtId="0" fontId="16" fillId="6" borderId="27" xfId="0" applyFont="1" applyFill="1" applyBorder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39" xfId="0" applyFont="1" applyBorder="1" applyAlignment="1" applyProtection="1">
      <alignment horizontal="left" vertical="center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0" fontId="16" fillId="0" borderId="21" xfId="0" applyFont="1" applyBorder="1" applyAlignment="1" applyProtection="1">
      <alignment horizontal="left" vertical="center"/>
      <protection locked="0"/>
    </xf>
    <xf numFmtId="0" fontId="16" fillId="0" borderId="16" xfId="0" applyFont="1" applyBorder="1" applyAlignment="1" applyProtection="1">
      <alignment horizontal="left" vertical="center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173" fontId="45" fillId="10" borderId="7" xfId="0" applyNumberFormat="1" applyFont="1" applyFill="1" applyBorder="1" applyAlignment="1" applyProtection="1">
      <alignment horizontal="left" vertical="center"/>
      <protection locked="0"/>
    </xf>
    <xf numFmtId="173" fontId="45" fillId="10" borderId="0" xfId="0" applyNumberFormat="1" applyFont="1" applyFill="1" applyAlignment="1" applyProtection="1">
      <alignment horizontal="left" vertical="center"/>
      <protection locked="0"/>
    </xf>
    <xf numFmtId="0" fontId="16" fillId="8" borderId="26" xfId="0" applyFont="1" applyFill="1" applyBorder="1" applyAlignment="1" applyProtection="1">
      <alignment horizontal="left" vertical="center"/>
      <protection locked="0"/>
    </xf>
    <xf numFmtId="0" fontId="16" fillId="8" borderId="27" xfId="0" applyFont="1" applyFill="1" applyBorder="1" applyAlignment="1" applyProtection="1">
      <alignment horizontal="left" vertical="center"/>
      <protection locked="0"/>
    </xf>
    <xf numFmtId="0" fontId="16" fillId="0" borderId="36" xfId="0" applyFont="1" applyBorder="1" applyAlignment="1" applyProtection="1">
      <alignment horizontal="left" vertical="center"/>
      <protection locked="0"/>
    </xf>
    <xf numFmtId="0" fontId="16" fillId="0" borderId="37" xfId="0" applyFont="1" applyBorder="1" applyAlignment="1" applyProtection="1">
      <alignment horizontal="left" vertical="center"/>
      <protection locked="0"/>
    </xf>
    <xf numFmtId="0" fontId="14" fillId="10" borderId="7" xfId="4" applyFont="1" applyFill="1" applyBorder="1" applyAlignment="1" applyProtection="1">
      <alignment horizontal="left" vertical="center"/>
      <protection locked="0"/>
    </xf>
    <xf numFmtId="0" fontId="14" fillId="10" borderId="0" xfId="4" applyFont="1" applyFill="1" applyAlignment="1" applyProtection="1">
      <alignment horizontal="left" vertical="center"/>
      <protection locked="0"/>
    </xf>
    <xf numFmtId="0" fontId="16" fillId="10" borderId="7" xfId="4" applyFont="1" applyFill="1" applyBorder="1" applyAlignment="1" applyProtection="1">
      <alignment horizontal="left" vertical="center"/>
      <protection locked="0"/>
    </xf>
    <xf numFmtId="0" fontId="16" fillId="10" borderId="0" xfId="4" applyFont="1" applyFill="1" applyAlignment="1" applyProtection="1">
      <alignment horizontal="left" vertical="center"/>
      <protection locked="0"/>
    </xf>
    <xf numFmtId="0" fontId="14" fillId="10" borderId="52" xfId="4" applyFont="1" applyFill="1" applyBorder="1" applyAlignment="1" applyProtection="1">
      <alignment horizontal="left" vertical="center"/>
      <protection locked="0"/>
    </xf>
    <xf numFmtId="0" fontId="14" fillId="10" borderId="53" xfId="4" applyFont="1" applyFill="1" applyBorder="1" applyAlignment="1" applyProtection="1">
      <alignment horizontal="left" vertical="center"/>
      <protection locked="0"/>
    </xf>
    <xf numFmtId="0" fontId="18" fillId="14" borderId="52" xfId="0" applyFont="1" applyFill="1" applyBorder="1" applyAlignment="1">
      <alignment horizontal="left" vertical="center"/>
    </xf>
    <xf numFmtId="0" fontId="18" fillId="14" borderId="53" xfId="0" applyFont="1" applyFill="1" applyBorder="1" applyAlignment="1">
      <alignment horizontal="left" vertical="center"/>
    </xf>
    <xf numFmtId="0" fontId="16" fillId="10" borderId="26" xfId="0" applyFont="1" applyFill="1" applyBorder="1" applyAlignment="1" applyProtection="1">
      <alignment horizontal="left" vertical="center"/>
      <protection locked="0"/>
    </xf>
    <xf numFmtId="0" fontId="16" fillId="10" borderId="27" xfId="0" applyFont="1" applyFill="1" applyBorder="1" applyAlignment="1" applyProtection="1">
      <alignment horizontal="left" vertical="center"/>
      <protection locked="0"/>
    </xf>
    <xf numFmtId="0" fontId="17" fillId="0" borderId="34" xfId="0" applyFont="1" applyBorder="1" applyAlignment="1" applyProtection="1">
      <alignment horizontal="left" vertical="center"/>
      <protection locked="0"/>
    </xf>
    <xf numFmtId="0" fontId="17" fillId="0" borderId="35" xfId="0" applyFont="1" applyBorder="1" applyAlignment="1" applyProtection="1">
      <alignment horizontal="left" vertical="center"/>
      <protection locked="0"/>
    </xf>
    <xf numFmtId="0" fontId="16" fillId="0" borderId="52" xfId="0" applyFont="1" applyBorder="1" applyAlignment="1" applyProtection="1">
      <alignment horizontal="left" vertical="center"/>
      <protection locked="0"/>
    </xf>
    <xf numFmtId="0" fontId="16" fillId="0" borderId="53" xfId="0" applyFont="1" applyBorder="1" applyAlignment="1" applyProtection="1">
      <alignment horizontal="left" vertical="center"/>
      <protection locked="0"/>
    </xf>
    <xf numFmtId="0" fontId="16" fillId="11" borderId="56" xfId="0" applyFont="1" applyFill="1" applyBorder="1" applyAlignment="1" applyProtection="1">
      <alignment horizontal="left" vertical="center"/>
      <protection locked="0"/>
    </xf>
    <xf numFmtId="0" fontId="16" fillId="11" borderId="5" xfId="0" applyFont="1" applyFill="1" applyBorder="1" applyAlignment="1" applyProtection="1">
      <alignment horizontal="left" vertical="center"/>
      <protection locked="0"/>
    </xf>
    <xf numFmtId="0" fontId="16" fillId="11" borderId="6" xfId="0" applyFont="1" applyFill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11" borderId="36" xfId="0" applyFont="1" applyFill="1" applyBorder="1" applyAlignment="1" applyProtection="1">
      <alignment horizontal="left" vertical="center"/>
      <protection locked="0"/>
    </xf>
    <xf numFmtId="0" fontId="16" fillId="11" borderId="37" xfId="0" applyFont="1" applyFill="1" applyBorder="1" applyAlignment="1" applyProtection="1">
      <alignment horizontal="left" vertical="center"/>
      <protection locked="0"/>
    </xf>
    <xf numFmtId="0" fontId="15" fillId="0" borderId="7" xfId="0" quotePrefix="1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quotePrefix="1" applyFont="1" applyAlignment="1" applyProtection="1">
      <alignment horizontal="left" vertical="center"/>
      <protection locked="0"/>
    </xf>
    <xf numFmtId="0" fontId="18" fillId="14" borderId="16" xfId="0" applyFont="1" applyFill="1" applyBorder="1" applyAlignment="1">
      <alignment horizontal="left" vertical="center"/>
    </xf>
    <xf numFmtId="0" fontId="18" fillId="14" borderId="30" xfId="0" applyFont="1" applyFill="1" applyBorder="1" applyAlignment="1">
      <alignment horizontal="left" vertical="center"/>
    </xf>
    <xf numFmtId="0" fontId="15" fillId="0" borderId="25" xfId="0" quotePrefix="1" applyFont="1" applyBorder="1" applyAlignment="1" applyProtection="1">
      <alignment horizontal="left" vertical="center"/>
      <protection locked="0"/>
    </xf>
    <xf numFmtId="0" fontId="15" fillId="0" borderId="21" xfId="0" quotePrefix="1" applyFont="1" applyBorder="1" applyAlignment="1" applyProtection="1">
      <alignment horizontal="left" vertical="center"/>
      <protection locked="0"/>
    </xf>
    <xf numFmtId="0" fontId="16" fillId="10" borderId="34" xfId="0" applyFont="1" applyFill="1" applyBorder="1" applyAlignment="1" applyProtection="1">
      <alignment horizontal="left" vertical="center"/>
      <protection locked="0"/>
    </xf>
    <xf numFmtId="0" fontId="16" fillId="10" borderId="35" xfId="0" applyFont="1" applyFill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left" vertical="center"/>
      <protection locked="0"/>
    </xf>
    <xf numFmtId="0" fontId="15" fillId="0" borderId="34" xfId="0" applyFont="1" applyBorder="1" applyAlignment="1" applyProtection="1">
      <alignment horizontal="left" vertical="center"/>
      <protection locked="0"/>
    </xf>
    <xf numFmtId="0" fontId="15" fillId="0" borderId="35" xfId="0" applyFont="1" applyBorder="1" applyAlignment="1" applyProtection="1">
      <alignment horizontal="left" vertical="center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9" fillId="9" borderId="7" xfId="0" applyFont="1" applyFill="1" applyBorder="1" applyAlignment="1" applyProtection="1">
      <alignment horizontal="center" vertical="center"/>
      <protection locked="0"/>
    </xf>
    <xf numFmtId="0" fontId="9" fillId="9" borderId="0" xfId="0" applyFont="1" applyFill="1" applyAlignment="1" applyProtection="1">
      <alignment horizontal="center" vertical="center"/>
      <protection locked="0"/>
    </xf>
    <xf numFmtId="0" fontId="57" fillId="9" borderId="2" xfId="0" applyFont="1" applyFill="1" applyBorder="1" applyAlignment="1" applyProtection="1">
      <alignment horizontal="center" vertical="center" textRotation="255" shrinkToFit="1"/>
      <protection locked="0"/>
    </xf>
    <xf numFmtId="0" fontId="57" fillId="9" borderId="8" xfId="0" applyFont="1" applyFill="1" applyBorder="1" applyAlignment="1" applyProtection="1">
      <alignment horizontal="center" vertical="center" textRotation="255" shrinkToFit="1"/>
      <protection locked="0"/>
    </xf>
    <xf numFmtId="0" fontId="57" fillId="9" borderId="85" xfId="0" applyFont="1" applyFill="1" applyBorder="1" applyAlignment="1" applyProtection="1">
      <alignment horizontal="center" vertical="center" textRotation="255" shrinkToFit="1"/>
      <protection locked="0"/>
    </xf>
    <xf numFmtId="0" fontId="16" fillId="9" borderId="52" xfId="0" quotePrefix="1" applyFont="1" applyFill="1" applyBorder="1" applyAlignment="1" applyProtection="1">
      <alignment horizontal="right" vertical="center"/>
      <protection locked="0"/>
    </xf>
    <xf numFmtId="0" fontId="16" fillId="9" borderId="53" xfId="0" quotePrefix="1" applyFont="1" applyFill="1" applyBorder="1" applyAlignment="1" applyProtection="1">
      <alignment horizontal="right" vertical="center"/>
      <protection locked="0"/>
    </xf>
    <xf numFmtId="0" fontId="15" fillId="0" borderId="56" xfId="0" applyFont="1" applyBorder="1" applyAlignment="1" applyProtection="1">
      <alignment horizontal="left" vertical="center"/>
      <protection locked="0"/>
    </xf>
    <xf numFmtId="0" fontId="15" fillId="0" borderId="5" xfId="0" applyFont="1" applyBorder="1" applyAlignment="1" applyProtection="1">
      <alignment horizontal="left" vertical="center"/>
      <protection locked="0"/>
    </xf>
    <xf numFmtId="0" fontId="16" fillId="9" borderId="69" xfId="0" applyFont="1" applyFill="1" applyBorder="1" applyAlignment="1" applyProtection="1">
      <alignment horizontal="left"/>
      <protection locked="0"/>
    </xf>
    <xf numFmtId="0" fontId="16" fillId="9" borderId="46" xfId="0" applyFont="1" applyFill="1" applyBorder="1" applyAlignment="1" applyProtection="1">
      <alignment horizontal="left"/>
      <protection locked="0"/>
    </xf>
    <xf numFmtId="0" fontId="41" fillId="9" borderId="3" xfId="0" applyFont="1" applyFill="1" applyBorder="1" applyAlignment="1" applyProtection="1">
      <alignment horizontal="center"/>
      <protection locked="0"/>
    </xf>
    <xf numFmtId="0" fontId="41" fillId="9" borderId="39" xfId="0" applyFont="1" applyFill="1" applyBorder="1" applyAlignment="1" applyProtection="1">
      <alignment horizontal="center"/>
      <protection locked="0"/>
    </xf>
    <xf numFmtId="0" fontId="41" fillId="9" borderId="75" xfId="0" applyFont="1" applyFill="1" applyBorder="1" applyAlignment="1" applyProtection="1">
      <alignment horizontal="center"/>
      <protection locked="0"/>
    </xf>
    <xf numFmtId="0" fontId="41" fillId="9" borderId="61" xfId="0" applyFont="1" applyFill="1" applyBorder="1" applyAlignment="1" applyProtection="1">
      <alignment horizontal="center"/>
      <protection locked="0"/>
    </xf>
    <xf numFmtId="14" fontId="41" fillId="6" borderId="3" xfId="0" applyNumberFormat="1" applyFont="1" applyFill="1" applyBorder="1" applyAlignment="1" applyProtection="1">
      <alignment horizontal="center"/>
      <protection locked="0"/>
    </xf>
    <xf numFmtId="0" fontId="41" fillId="6" borderId="39" xfId="0" applyFont="1" applyFill="1" applyBorder="1" applyAlignment="1" applyProtection="1">
      <alignment horizontal="center"/>
      <protection locked="0"/>
    </xf>
    <xf numFmtId="0" fontId="41" fillId="6" borderId="61" xfId="0" applyFont="1" applyFill="1" applyBorder="1" applyAlignment="1" applyProtection="1">
      <alignment horizontal="center"/>
      <protection locked="0"/>
    </xf>
    <xf numFmtId="182" fontId="17" fillId="9" borderId="26" xfId="0" applyNumberFormat="1" applyFont="1" applyFill="1" applyBorder="1" applyAlignment="1" applyProtection="1">
      <alignment horizontal="center" vertical="center"/>
      <protection locked="0"/>
    </xf>
    <xf numFmtId="182" fontId="17" fillId="9" borderId="27" xfId="0" applyNumberFormat="1" applyFont="1" applyFill="1" applyBorder="1" applyAlignment="1" applyProtection="1">
      <alignment horizontal="center" vertical="center"/>
      <protection locked="0"/>
    </xf>
    <xf numFmtId="182" fontId="17" fillId="9" borderId="40" xfId="0" applyNumberFormat="1" applyFont="1" applyFill="1" applyBorder="1" applyAlignment="1" applyProtection="1">
      <alignment horizontal="center" vertical="center"/>
      <protection locked="0"/>
    </xf>
    <xf numFmtId="0" fontId="16" fillId="10" borderId="4" xfId="0" applyFont="1" applyFill="1" applyBorder="1" applyAlignment="1" applyProtection="1">
      <alignment horizontal="center" vertical="center"/>
      <protection locked="0"/>
    </xf>
    <xf numFmtId="0" fontId="16" fillId="10" borderId="5" xfId="0" applyFont="1" applyFill="1" applyBorder="1" applyAlignment="1" applyProtection="1">
      <alignment horizontal="center" vertical="center"/>
      <protection locked="0"/>
    </xf>
    <xf numFmtId="0" fontId="16" fillId="10" borderId="6" xfId="0" applyFont="1" applyFill="1" applyBorder="1" applyAlignment="1" applyProtection="1">
      <alignment horizontal="center" vertical="center"/>
      <protection locked="0"/>
    </xf>
    <xf numFmtId="0" fontId="61" fillId="9" borderId="56" xfId="0" applyFont="1" applyFill="1" applyBorder="1" applyAlignment="1">
      <alignment horizontal="center" vertical="top"/>
    </xf>
    <xf numFmtId="0" fontId="61" fillId="9" borderId="5" xfId="0" applyFont="1" applyFill="1" applyBorder="1" applyAlignment="1">
      <alignment horizontal="center" vertical="top"/>
    </xf>
    <xf numFmtId="0" fontId="61" fillId="9" borderId="39" xfId="0" applyFont="1" applyFill="1" applyBorder="1" applyAlignment="1">
      <alignment horizontal="center" vertical="top"/>
    </xf>
    <xf numFmtId="0" fontId="61" fillId="9" borderId="61" xfId="0" applyFont="1" applyFill="1" applyBorder="1" applyAlignment="1">
      <alignment horizontal="center" vertical="top"/>
    </xf>
    <xf numFmtId="0" fontId="61" fillId="10" borderId="30" xfId="0" applyFont="1" applyFill="1" applyBorder="1" applyAlignment="1">
      <alignment horizontal="center" vertical="top"/>
    </xf>
    <xf numFmtId="0" fontId="61" fillId="11" borderId="56" xfId="0" applyFont="1" applyFill="1" applyBorder="1" applyAlignment="1">
      <alignment horizontal="center" vertical="top"/>
    </xf>
    <xf numFmtId="0" fontId="61" fillId="11" borderId="6" xfId="0" applyFont="1" applyFill="1" applyBorder="1" applyAlignment="1">
      <alignment horizontal="center" vertical="top"/>
    </xf>
    <xf numFmtId="10" fontId="61" fillId="8" borderId="10" xfId="0" applyNumberFormat="1" applyFont="1" applyFill="1" applyBorder="1" applyAlignment="1">
      <alignment horizontal="center" vertical="top"/>
    </xf>
    <xf numFmtId="10" fontId="61" fillId="8" borderId="30" xfId="0" applyNumberFormat="1" applyFont="1" applyFill="1" applyBorder="1" applyAlignment="1">
      <alignment horizontal="center" vertical="top"/>
    </xf>
    <xf numFmtId="10" fontId="45" fillId="8" borderId="30" xfId="0" applyNumberFormat="1" applyFont="1" applyFill="1" applyBorder="1" applyAlignment="1" applyProtection="1">
      <alignment horizontal="center" vertical="top"/>
      <protection locked="0"/>
    </xf>
    <xf numFmtId="10" fontId="17" fillId="8" borderId="16" xfId="0" applyNumberFormat="1" applyFont="1" applyFill="1" applyBorder="1" applyAlignment="1" applyProtection="1">
      <alignment horizontal="center" vertical="top"/>
      <protection locked="0"/>
    </xf>
    <xf numFmtId="0" fontId="17" fillId="8" borderId="70" xfId="0" applyFont="1" applyFill="1" applyBorder="1" applyAlignment="1" applyProtection="1">
      <alignment horizontal="center" vertical="top"/>
      <protection locked="0"/>
    </xf>
    <xf numFmtId="37" fontId="45" fillId="8" borderId="10" xfId="1" applyNumberFormat="1" applyFont="1" applyFill="1" applyBorder="1" applyAlignment="1" applyProtection="1">
      <alignment horizontal="center" vertical="top"/>
      <protection locked="0"/>
    </xf>
    <xf numFmtId="37" fontId="45" fillId="8" borderId="30" xfId="1" applyNumberFormat="1" applyFont="1" applyFill="1" applyBorder="1" applyAlignment="1" applyProtection="1">
      <alignment horizontal="center" vertical="top"/>
      <protection locked="0"/>
    </xf>
    <xf numFmtId="37" fontId="17" fillId="8" borderId="10" xfId="1" applyNumberFormat="1" applyFont="1" applyFill="1" applyBorder="1" applyAlignment="1" applyProtection="1">
      <alignment horizontal="center" vertical="top"/>
    </xf>
    <xf numFmtId="37" fontId="17" fillId="8" borderId="30" xfId="1" applyNumberFormat="1" applyFont="1" applyFill="1" applyBorder="1" applyAlignment="1" applyProtection="1">
      <alignment horizontal="center" vertical="top"/>
    </xf>
    <xf numFmtId="37" fontId="17" fillId="8" borderId="16" xfId="1" applyNumberFormat="1" applyFont="1" applyFill="1" applyBorder="1" applyAlignment="1">
      <alignment horizontal="center" vertical="top"/>
    </xf>
    <xf numFmtId="37" fontId="17" fillId="8" borderId="70" xfId="1" applyNumberFormat="1" applyFont="1" applyFill="1" applyBorder="1" applyAlignment="1">
      <alignment horizontal="center" vertical="top"/>
    </xf>
    <xf numFmtId="37" fontId="47" fillId="8" borderId="10" xfId="1" applyNumberFormat="1" applyFont="1" applyFill="1" applyBorder="1" applyAlignment="1" applyProtection="1">
      <alignment horizontal="center" vertical="top"/>
    </xf>
    <xf numFmtId="37" fontId="47" fillId="8" borderId="30" xfId="1" applyNumberFormat="1" applyFont="1" applyFill="1" applyBorder="1" applyAlignment="1" applyProtection="1">
      <alignment horizontal="center" vertical="top"/>
    </xf>
    <xf numFmtId="37" fontId="47" fillId="8" borderId="16" xfId="1" applyNumberFormat="1" applyFont="1" applyFill="1" applyBorder="1" applyAlignment="1">
      <alignment horizontal="center" vertical="top"/>
    </xf>
    <xf numFmtId="37" fontId="47" fillId="8" borderId="70" xfId="1" applyNumberFormat="1" applyFont="1" applyFill="1" applyBorder="1" applyAlignment="1">
      <alignment horizontal="center" vertical="top"/>
    </xf>
    <xf numFmtId="37" fontId="47" fillId="8" borderId="11" xfId="1" applyNumberFormat="1" applyFont="1" applyFill="1" applyBorder="1" applyAlignment="1" applyProtection="1">
      <alignment horizontal="center" vertical="top"/>
    </xf>
    <xf numFmtId="37" fontId="65" fillId="8" borderId="10" xfId="1" applyNumberFormat="1" applyFont="1" applyFill="1" applyBorder="1" applyAlignment="1" applyProtection="1">
      <alignment horizontal="center" vertical="top"/>
      <protection locked="0"/>
    </xf>
    <xf numFmtId="37" fontId="65" fillId="8" borderId="11" xfId="1" applyNumberFormat="1" applyFont="1" applyFill="1" applyBorder="1" applyAlignment="1" applyProtection="1">
      <alignment horizontal="center" vertical="top"/>
      <protection locked="0"/>
    </xf>
    <xf numFmtId="167" fontId="47" fillId="8" borderId="10" xfId="3" applyNumberFormat="1" applyFont="1" applyFill="1" applyBorder="1" applyAlignment="1" applyProtection="1">
      <alignment horizontal="center" vertical="top"/>
    </xf>
    <xf numFmtId="167" fontId="47" fillId="8" borderId="30" xfId="3" applyNumberFormat="1" applyFont="1" applyFill="1" applyBorder="1" applyAlignment="1" applyProtection="1">
      <alignment horizontal="center" vertical="top"/>
    </xf>
    <xf numFmtId="167" fontId="47" fillId="8" borderId="16" xfId="3" applyNumberFormat="1" applyFont="1" applyFill="1" applyBorder="1" applyAlignment="1">
      <alignment horizontal="center" vertical="top"/>
    </xf>
    <xf numFmtId="167" fontId="47" fillId="8" borderId="70" xfId="3" applyNumberFormat="1" applyFont="1" applyFill="1" applyBorder="1" applyAlignment="1">
      <alignment horizontal="center" vertical="top"/>
    </xf>
    <xf numFmtId="167" fontId="47" fillId="8" borderId="10" xfId="3" applyNumberFormat="1" applyFont="1" applyFill="1" applyBorder="1" applyAlignment="1">
      <alignment horizontal="center" vertical="top"/>
    </xf>
    <xf numFmtId="167" fontId="47" fillId="8" borderId="11" xfId="3" applyNumberFormat="1" applyFont="1" applyFill="1" applyBorder="1" applyAlignment="1">
      <alignment horizontal="center" vertical="top"/>
    </xf>
    <xf numFmtId="167" fontId="47" fillId="8" borderId="11" xfId="3" applyNumberFormat="1" applyFont="1" applyFill="1" applyBorder="1" applyAlignment="1" applyProtection="1">
      <alignment horizontal="center" vertical="top"/>
    </xf>
    <xf numFmtId="37" fontId="47" fillId="8" borderId="10" xfId="1" applyNumberFormat="1" applyFont="1" applyFill="1" applyBorder="1" applyAlignment="1">
      <alignment horizontal="center" vertical="top"/>
    </xf>
    <xf numFmtId="37" fontId="47" fillId="8" borderId="11" xfId="1" applyNumberFormat="1" applyFont="1" applyFill="1" applyBorder="1" applyAlignment="1">
      <alignment horizontal="center" vertical="top"/>
    </xf>
    <xf numFmtId="167" fontId="17" fillId="8" borderId="10" xfId="3" applyNumberFormat="1" applyFont="1" applyFill="1" applyBorder="1" applyAlignment="1">
      <alignment horizontal="center" vertical="top"/>
    </xf>
    <xf numFmtId="167" fontId="17" fillId="8" borderId="11" xfId="3" applyNumberFormat="1" applyFont="1" applyFill="1" applyBorder="1" applyAlignment="1">
      <alignment horizontal="center" vertical="top"/>
    </xf>
    <xf numFmtId="167" fontId="17" fillId="8" borderId="10" xfId="3" applyNumberFormat="1" applyFont="1" applyFill="1" applyBorder="1" applyAlignment="1" applyProtection="1">
      <alignment horizontal="center" vertical="top"/>
    </xf>
    <xf numFmtId="167" fontId="17" fillId="8" borderId="11" xfId="3" applyNumberFormat="1" applyFont="1" applyFill="1" applyBorder="1" applyAlignment="1" applyProtection="1">
      <alignment horizontal="center" vertical="top"/>
    </xf>
    <xf numFmtId="167" fontId="17" fillId="8" borderId="30" xfId="3" applyNumberFormat="1" applyFont="1" applyFill="1" applyBorder="1" applyAlignment="1" applyProtection="1">
      <alignment horizontal="center" vertical="top"/>
    </xf>
    <xf numFmtId="167" fontId="17" fillId="8" borderId="36" xfId="3" applyNumberFormat="1" applyFont="1" applyFill="1" applyBorder="1" applyAlignment="1">
      <alignment horizontal="center" vertical="top"/>
    </xf>
    <xf numFmtId="167" fontId="17" fillId="8" borderId="38" xfId="3" applyNumberFormat="1" applyFont="1" applyFill="1" applyBorder="1" applyAlignment="1">
      <alignment horizontal="center" vertical="top"/>
    </xf>
    <xf numFmtId="0" fontId="63" fillId="0" borderId="5" xfId="0" applyFont="1" applyBorder="1" applyAlignment="1">
      <alignment horizontal="center" vertical="top"/>
    </xf>
    <xf numFmtId="10" fontId="62" fillId="8" borderId="10" xfId="0" applyNumberFormat="1" applyFont="1" applyFill="1" applyBorder="1" applyAlignment="1">
      <alignment horizontal="center" vertical="top"/>
    </xf>
    <xf numFmtId="10" fontId="62" fillId="8" borderId="30" xfId="0" applyNumberFormat="1" applyFont="1" applyFill="1" applyBorder="1" applyAlignment="1">
      <alignment horizontal="center" vertical="top"/>
    </xf>
    <xf numFmtId="10" fontId="15" fillId="16" borderId="30" xfId="0" applyNumberFormat="1" applyFont="1" applyFill="1" applyBorder="1" applyAlignment="1">
      <alignment horizontal="center" vertical="top"/>
    </xf>
    <xf numFmtId="0" fontId="15" fillId="16" borderId="11" xfId="0" applyFont="1" applyFill="1" applyBorder="1" applyAlignment="1">
      <alignment horizontal="center" vertical="top"/>
    </xf>
    <xf numFmtId="37" fontId="15" fillId="16" borderId="10" xfId="1" applyNumberFormat="1" applyFont="1" applyFill="1" applyBorder="1" applyAlignment="1">
      <alignment horizontal="center" vertical="top"/>
    </xf>
    <xf numFmtId="37" fontId="15" fillId="16" borderId="11" xfId="1" applyNumberFormat="1" applyFont="1" applyFill="1" applyBorder="1" applyAlignment="1">
      <alignment horizontal="center" vertical="top"/>
    </xf>
    <xf numFmtId="37" fontId="44" fillId="8" borderId="10" xfId="1" applyNumberFormat="1" applyFont="1" applyFill="1" applyBorder="1" applyAlignment="1">
      <alignment horizontal="center" vertical="top"/>
    </xf>
    <xf numFmtId="37" fontId="44" fillId="8" borderId="11" xfId="1" applyNumberFormat="1" applyFont="1" applyFill="1" applyBorder="1" applyAlignment="1">
      <alignment horizontal="center" vertical="top"/>
    </xf>
    <xf numFmtId="167" fontId="15" fillId="16" borderId="10" xfId="3" applyNumberFormat="1" applyFont="1" applyFill="1" applyBorder="1" applyAlignment="1">
      <alignment horizontal="center" vertical="top"/>
    </xf>
    <xf numFmtId="167" fontId="15" fillId="16" borderId="11" xfId="3" applyNumberFormat="1" applyFont="1" applyFill="1" applyBorder="1" applyAlignment="1">
      <alignment horizontal="center" vertical="top"/>
    </xf>
    <xf numFmtId="37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7" fontId="44" fillId="8" borderId="10" xfId="3" applyNumberFormat="1" applyFont="1" applyFill="1" applyBorder="1" applyAlignment="1">
      <alignment horizontal="center" vertical="top"/>
    </xf>
    <xf numFmtId="167" fontId="44" fillId="8" borderId="11" xfId="3" applyNumberFormat="1" applyFont="1" applyFill="1" applyBorder="1" applyAlignment="1">
      <alignment horizontal="center" vertical="top"/>
    </xf>
    <xf numFmtId="191" fontId="14" fillId="0" borderId="14" xfId="0" applyNumberFormat="1" applyFont="1" applyBorder="1" applyAlignment="1">
      <alignment horizontal="left" vertical="center"/>
    </xf>
    <xf numFmtId="191" fontId="14" fillId="0" borderId="21" xfId="0" applyNumberFormat="1" applyFont="1" applyBorder="1" applyAlignment="1">
      <alignment horizontal="left" vertical="center"/>
    </xf>
    <xf numFmtId="191" fontId="14" fillId="0" borderId="47" xfId="0" applyNumberFormat="1" applyFont="1" applyBorder="1" applyAlignment="1">
      <alignment horizontal="left" vertical="center"/>
    </xf>
    <xf numFmtId="0" fontId="16" fillId="9" borderId="39" xfId="0" applyFont="1" applyFill="1" applyBorder="1" applyAlignment="1" applyProtection="1">
      <alignment horizontal="center"/>
      <protection locked="0"/>
    </xf>
    <xf numFmtId="0" fontId="39" fillId="9" borderId="26" xfId="0" applyFont="1" applyFill="1" applyBorder="1" applyAlignment="1" applyProtection="1">
      <alignment horizontal="left" vertical="center"/>
      <protection locked="0"/>
    </xf>
    <xf numFmtId="0" fontId="39" fillId="9" borderId="27" xfId="0" applyFont="1" applyFill="1" applyBorder="1" applyAlignment="1" applyProtection="1">
      <alignment horizontal="left" vertical="center"/>
      <protection locked="0"/>
    </xf>
    <xf numFmtId="0" fontId="39" fillId="9" borderId="40" xfId="0" applyFont="1" applyFill="1" applyBorder="1" applyAlignment="1" applyProtection="1">
      <alignment horizontal="left" vertical="center"/>
      <protection locked="0"/>
    </xf>
    <xf numFmtId="0" fontId="57" fillId="9" borderId="26" xfId="0" applyFont="1" applyFill="1" applyBorder="1" applyAlignment="1" applyProtection="1">
      <alignment horizontal="left" vertical="center" wrapText="1"/>
      <protection locked="0"/>
    </xf>
    <xf numFmtId="0" fontId="57" fillId="9" borderId="27" xfId="0" applyFont="1" applyFill="1" applyBorder="1" applyAlignment="1" applyProtection="1">
      <alignment horizontal="left" vertical="center" wrapText="1"/>
      <protection locked="0"/>
    </xf>
    <xf numFmtId="0" fontId="57" fillId="9" borderId="54" xfId="0" applyFont="1" applyFill="1" applyBorder="1" applyAlignment="1" applyProtection="1">
      <alignment horizontal="left" vertical="center" wrapText="1"/>
      <protection locked="0"/>
    </xf>
    <xf numFmtId="0" fontId="57" fillId="9" borderId="40" xfId="0" applyFont="1" applyFill="1" applyBorder="1" applyAlignment="1" applyProtection="1">
      <alignment horizontal="left" vertical="center" wrapText="1"/>
      <protection locked="0"/>
    </xf>
    <xf numFmtId="0" fontId="5" fillId="11" borderId="26" xfId="0" applyFont="1" applyFill="1" applyBorder="1" applyAlignment="1" applyProtection="1">
      <alignment horizontal="center"/>
      <protection locked="0"/>
    </xf>
    <xf numFmtId="0" fontId="5" fillId="11" borderId="27" xfId="0" applyFont="1" applyFill="1" applyBorder="1" applyAlignment="1" applyProtection="1">
      <alignment horizontal="center"/>
      <protection locked="0"/>
    </xf>
    <xf numFmtId="0" fontId="5" fillId="11" borderId="40" xfId="0" applyFont="1" applyFill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77" fillId="9" borderId="26" xfId="0" applyFont="1" applyFill="1" applyBorder="1" applyAlignment="1" applyProtection="1">
      <alignment horizontal="center"/>
      <protection locked="0"/>
    </xf>
    <xf numFmtId="0" fontId="77" fillId="9" borderId="27" xfId="0" applyFont="1" applyFill="1" applyBorder="1" applyAlignment="1" applyProtection="1">
      <alignment horizontal="center"/>
      <protection locked="0"/>
    </xf>
    <xf numFmtId="0" fontId="77" fillId="9" borderId="40" xfId="0" applyFont="1" applyFill="1" applyBorder="1" applyAlignment="1" applyProtection="1">
      <alignment horizontal="center"/>
      <protection locked="0"/>
    </xf>
    <xf numFmtId="0" fontId="81" fillId="9" borderId="41" xfId="0" applyFont="1" applyFill="1" applyBorder="1" applyAlignment="1" applyProtection="1">
      <alignment horizontal="center" vertical="center" wrapText="1"/>
      <protection locked="0"/>
    </xf>
    <xf numFmtId="0" fontId="81" fillId="9" borderId="15" xfId="0" applyFont="1" applyFill="1" applyBorder="1" applyAlignment="1" applyProtection="1">
      <alignment horizontal="center" vertical="center" wrapText="1"/>
      <protection locked="0"/>
    </xf>
    <xf numFmtId="0" fontId="41" fillId="9" borderId="74" xfId="0" applyFont="1" applyFill="1" applyBorder="1" applyAlignment="1" applyProtection="1">
      <alignment horizontal="center"/>
      <protection locked="0"/>
    </xf>
    <xf numFmtId="0" fontId="41" fillId="9" borderId="49" xfId="0" applyFont="1" applyFill="1" applyBorder="1" applyAlignment="1" applyProtection="1">
      <alignment horizontal="center"/>
      <protection locked="0"/>
    </xf>
    <xf numFmtId="0" fontId="41" fillId="9" borderId="35" xfId="0" applyFont="1" applyFill="1" applyBorder="1" applyAlignment="1" applyProtection="1">
      <alignment horizontal="center"/>
      <protection locked="0"/>
    </xf>
    <xf numFmtId="0" fontId="41" fillId="9" borderId="74" xfId="0" applyFont="1" applyFill="1" applyBorder="1" applyAlignment="1" applyProtection="1">
      <alignment horizontal="center" wrapText="1"/>
      <protection locked="0"/>
    </xf>
    <xf numFmtId="0" fontId="41" fillId="9" borderId="49" xfId="0" applyFont="1" applyFill="1" applyBorder="1" applyAlignment="1" applyProtection="1">
      <alignment horizontal="center" wrapText="1"/>
      <protection locked="0"/>
    </xf>
    <xf numFmtId="0" fontId="57" fillId="9" borderId="3" xfId="0" applyFont="1" applyFill="1" applyBorder="1" applyAlignment="1" applyProtection="1">
      <alignment horizontal="center"/>
      <protection locked="0"/>
    </xf>
    <xf numFmtId="0" fontId="57" fillId="9" borderId="39" xfId="0" applyFont="1" applyFill="1" applyBorder="1" applyAlignment="1" applyProtection="1">
      <alignment horizontal="center"/>
      <protection locked="0"/>
    </xf>
    <xf numFmtId="0" fontId="57" fillId="9" borderId="75" xfId="0" applyFont="1" applyFill="1" applyBorder="1" applyAlignment="1" applyProtection="1">
      <alignment horizontal="center"/>
      <protection locked="0"/>
    </xf>
    <xf numFmtId="166" fontId="57" fillId="0" borderId="56" xfId="1" applyNumberFormat="1" applyFont="1" applyFill="1" applyBorder="1" applyAlignment="1" applyProtection="1">
      <alignment horizontal="center"/>
      <protection locked="0"/>
    </xf>
    <xf numFmtId="166" fontId="57" fillId="0" borderId="5" xfId="1" applyNumberFormat="1" applyFont="1" applyFill="1" applyBorder="1" applyAlignment="1" applyProtection="1">
      <alignment horizontal="center"/>
      <protection locked="0"/>
    </xf>
    <xf numFmtId="166" fontId="57" fillId="0" borderId="16" xfId="1" applyNumberFormat="1" applyFont="1" applyFill="1" applyBorder="1" applyAlignment="1" applyProtection="1">
      <alignment horizontal="center"/>
      <protection locked="0"/>
    </xf>
    <xf numFmtId="166" fontId="57" fillId="0" borderId="30" xfId="1" applyNumberFormat="1" applyFont="1" applyFill="1" applyBorder="1" applyAlignment="1" applyProtection="1">
      <alignment horizontal="center"/>
      <protection locked="0"/>
    </xf>
    <xf numFmtId="166" fontId="57" fillId="0" borderId="36" xfId="1" applyNumberFormat="1" applyFont="1" applyBorder="1" applyAlignment="1" applyProtection="1">
      <alignment horizontal="center"/>
      <protection locked="0"/>
    </xf>
    <xf numFmtId="166" fontId="57" fillId="0" borderId="37" xfId="1" applyNumberFormat="1" applyFont="1" applyBorder="1" applyAlignment="1" applyProtection="1">
      <alignment horizontal="center"/>
      <protection locked="0"/>
    </xf>
    <xf numFmtId="0" fontId="5" fillId="9" borderId="69" xfId="0" applyFont="1" applyFill="1" applyBorder="1" applyAlignment="1" applyProtection="1">
      <alignment horizontal="left"/>
      <protection locked="0"/>
    </xf>
    <xf numFmtId="0" fontId="5" fillId="9" borderId="46" xfId="0" applyFont="1" applyFill="1" applyBorder="1" applyAlignment="1" applyProtection="1">
      <alignment horizontal="left"/>
      <protection locked="0"/>
    </xf>
    <xf numFmtId="0" fontId="9" fillId="9" borderId="3" xfId="0" applyFont="1" applyFill="1" applyBorder="1" applyAlignment="1" applyProtection="1">
      <alignment horizontal="center"/>
      <protection locked="0"/>
    </xf>
    <xf numFmtId="0" fontId="9" fillId="9" borderId="39" xfId="0" applyFont="1" applyFill="1" applyBorder="1" applyAlignment="1" applyProtection="1">
      <alignment horizontal="center"/>
      <protection locked="0"/>
    </xf>
    <xf numFmtId="0" fontId="9" fillId="9" borderId="75" xfId="0" applyFont="1" applyFill="1" applyBorder="1" applyAlignment="1" applyProtection="1">
      <alignment horizontal="center"/>
      <protection locked="0"/>
    </xf>
    <xf numFmtId="0" fontId="9" fillId="9" borderId="61" xfId="0" applyFont="1" applyFill="1" applyBorder="1" applyAlignment="1" applyProtection="1">
      <alignment horizontal="center"/>
      <protection locked="0"/>
    </xf>
    <xf numFmtId="14" fontId="9" fillId="9" borderId="3" xfId="0" applyNumberFormat="1" applyFont="1" applyFill="1" applyBorder="1" applyAlignment="1" applyProtection="1">
      <alignment horizontal="center"/>
      <protection locked="0"/>
    </xf>
  </cellXfs>
  <cellStyles count="7">
    <cellStyle name="Comma" xfId="1" builtinId="3"/>
    <cellStyle name="Currency" xfId="2" builtinId="4"/>
    <cellStyle name="Hyperlink" xfId="5" builtinId="8"/>
    <cellStyle name="Normal" xfId="0" builtinId="0"/>
    <cellStyle name="Normal 2" xfId="6" xr:uid="{EFD2ADF0-6644-43B1-AE70-0C593ED7C991}"/>
    <cellStyle name="Normal 8" xfId="4" xr:uid="{0ADE449F-9643-4824-9A40-2C18AAD49D1E}"/>
    <cellStyle name="Percent" xfId="3" builtinId="5"/>
  </cellStyles>
  <dxfs count="1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</a:t>
            </a:r>
            <a:r>
              <a:rPr lang="en-US" baseline="0"/>
              <a:t> Balances</a:t>
            </a:r>
            <a:endParaRPr lang="en-US"/>
          </a:p>
        </c:rich>
      </c:tx>
      <c:layout>
        <c:manualLayout>
          <c:xMode val="edge"/>
          <c:yMode val="edge"/>
          <c:x val="0.34732548004284702"/>
          <c:y val="5.700298909505761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RLOC!$C$4</c:f>
              <c:strCache>
                <c:ptCount val="1"/>
                <c:pt idx="0">
                  <c:v>Commitment:</c:v>
                </c:pt>
              </c:strCache>
            </c:strRef>
          </c:tx>
          <c:marker>
            <c:symbol val="none"/>
          </c:marker>
          <c:cat>
            <c:numRef>
              <c:f>RLOC!$B$6:$B$17</c:f>
              <c:numCache>
                <c:formatCode>mmm\-yy</c:formatCode>
                <c:ptCount val="12"/>
                <c:pt idx="0">
                  <c:v>45504</c:v>
                </c:pt>
                <c:pt idx="1">
                  <c:v>45535</c:v>
                </c:pt>
                <c:pt idx="2">
                  <c:v>45565</c:v>
                </c:pt>
                <c:pt idx="3">
                  <c:v>45596</c:v>
                </c:pt>
                <c:pt idx="4">
                  <c:v>45626</c:v>
                </c:pt>
                <c:pt idx="5">
                  <c:v>45657</c:v>
                </c:pt>
                <c:pt idx="6">
                  <c:v>45688</c:v>
                </c:pt>
                <c:pt idx="7">
                  <c:v>45716</c:v>
                </c:pt>
                <c:pt idx="8">
                  <c:v>45747</c:v>
                </c:pt>
                <c:pt idx="9">
                  <c:v>45777</c:v>
                </c:pt>
                <c:pt idx="10">
                  <c:v>45808</c:v>
                </c:pt>
                <c:pt idx="11">
                  <c:v>45838</c:v>
                </c:pt>
              </c:numCache>
            </c:numRef>
          </c:cat>
          <c:val>
            <c:numRef>
              <c:f>RLOC!$C$6:$C$17</c:f>
              <c:numCache>
                <c:formatCode>_("$"* #,##0_);_("$"* \(#,##0\);_("$"* "-"??_);_(@_)</c:formatCode>
                <c:ptCount val="12"/>
                <c:pt idx="0">
                  <c:v>15394240.5</c:v>
                </c:pt>
                <c:pt idx="1">
                  <c:v>20657033</c:v>
                </c:pt>
                <c:pt idx="2">
                  <c:v>21169823</c:v>
                </c:pt>
                <c:pt idx="3">
                  <c:v>20806714</c:v>
                </c:pt>
                <c:pt idx="4">
                  <c:v>18435914</c:v>
                </c:pt>
                <c:pt idx="5">
                  <c:v>16874950.5</c:v>
                </c:pt>
                <c:pt idx="6">
                  <c:v>14522517</c:v>
                </c:pt>
                <c:pt idx="7">
                  <c:v>13857610</c:v>
                </c:pt>
                <c:pt idx="8">
                  <c:v>14102190</c:v>
                </c:pt>
                <c:pt idx="9">
                  <c:v>13229489</c:v>
                </c:pt>
                <c:pt idx="10">
                  <c:v>11840986</c:v>
                </c:pt>
                <c:pt idx="11">
                  <c:v>11840986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6-4888-A6F2-C80B468F9AF2}"/>
            </c:ext>
          </c:extLst>
        </c:ser>
        <c:ser>
          <c:idx val="0"/>
          <c:order val="1"/>
          <c:tx>
            <c:strRef>
              <c:f>RLOC!$D$5</c:f>
              <c:strCache>
                <c:ptCount val="1"/>
                <c:pt idx="0">
                  <c:v>Outstanding:</c:v>
                </c:pt>
              </c:strCache>
            </c:strRef>
          </c:tx>
          <c:marker>
            <c:symbol val="none"/>
          </c:marker>
          <c:cat>
            <c:numRef>
              <c:f>RLOC!$B$6:$B$17</c:f>
              <c:numCache>
                <c:formatCode>mmm\-yy</c:formatCode>
                <c:ptCount val="12"/>
                <c:pt idx="0">
                  <c:v>45504</c:v>
                </c:pt>
                <c:pt idx="1">
                  <c:v>45535</c:v>
                </c:pt>
                <c:pt idx="2">
                  <c:v>45565</c:v>
                </c:pt>
                <c:pt idx="3">
                  <c:v>45596</c:v>
                </c:pt>
                <c:pt idx="4">
                  <c:v>45626</c:v>
                </c:pt>
                <c:pt idx="5">
                  <c:v>45657</c:v>
                </c:pt>
                <c:pt idx="6">
                  <c:v>45688</c:v>
                </c:pt>
                <c:pt idx="7">
                  <c:v>45716</c:v>
                </c:pt>
                <c:pt idx="8">
                  <c:v>45747</c:v>
                </c:pt>
                <c:pt idx="9">
                  <c:v>45777</c:v>
                </c:pt>
                <c:pt idx="10">
                  <c:v>45808</c:v>
                </c:pt>
                <c:pt idx="11">
                  <c:v>45838</c:v>
                </c:pt>
              </c:numCache>
            </c:numRef>
          </c:cat>
          <c:val>
            <c:numRef>
              <c:f>RLOC!$D$6:$D$17</c:f>
              <c:numCache>
                <c:formatCode>_("$"* #,##0_);_("$"* \(#,##0\);_("$"* "-"??_);_(@_)</c:formatCode>
                <c:ptCount val="12"/>
                <c:pt idx="0">
                  <c:v>10446004</c:v>
                </c:pt>
                <c:pt idx="1">
                  <c:v>13183552</c:v>
                </c:pt>
                <c:pt idx="2">
                  <c:v>12850402</c:v>
                </c:pt>
                <c:pt idx="3">
                  <c:v>11730952</c:v>
                </c:pt>
                <c:pt idx="4">
                  <c:v>13127384</c:v>
                </c:pt>
                <c:pt idx="5">
                  <c:v>11751676</c:v>
                </c:pt>
                <c:pt idx="6">
                  <c:v>9770459</c:v>
                </c:pt>
                <c:pt idx="7">
                  <c:v>9508671</c:v>
                </c:pt>
                <c:pt idx="8">
                  <c:v>9268168</c:v>
                </c:pt>
                <c:pt idx="9">
                  <c:v>11347477</c:v>
                </c:pt>
                <c:pt idx="10">
                  <c:v>10434085</c:v>
                </c:pt>
                <c:pt idx="11">
                  <c:v>10434085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6-4888-A6F2-C80B468F9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821112"/>
        <c:axId val="352821504"/>
      </c:lineChart>
      <c:dateAx>
        <c:axId val="3528211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352821504"/>
        <c:crosses val="autoZero"/>
        <c:auto val="1"/>
        <c:lblOffset val="100"/>
        <c:baseTimeUnit val="months"/>
      </c:dateAx>
      <c:valAx>
        <c:axId val="352821504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352821112"/>
        <c:crosses val="autoZero"/>
        <c:crossBetween val="between"/>
        <c:majorUnit val="10000000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</a:t>
            </a:r>
            <a:r>
              <a:rPr lang="en-US" baseline="0"/>
              <a:t> Balances</a:t>
            </a:r>
            <a:endParaRPr lang="en-US"/>
          </a:p>
        </c:rich>
      </c:tx>
      <c:layout>
        <c:manualLayout>
          <c:xMode val="edge"/>
          <c:yMode val="edge"/>
          <c:x val="0.34732548004284702"/>
          <c:y val="5.700298909505761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Commitment:</c:v>
          </c:tx>
          <c:marker>
            <c:symbol val="none"/>
          </c:marker>
          <c:cat>
            <c:numLit>
              <c:formatCode>General</c:formatCode>
              <c:ptCount val="12"/>
              <c:pt idx="0">
                <c:v>43008</c:v>
              </c:pt>
              <c:pt idx="1">
                <c:v>43039</c:v>
              </c:pt>
              <c:pt idx="2">
                <c:v>43069</c:v>
              </c:pt>
              <c:pt idx="3">
                <c:v>43100</c:v>
              </c:pt>
              <c:pt idx="4">
                <c:v>43131</c:v>
              </c:pt>
              <c:pt idx="5">
                <c:v>43159</c:v>
              </c:pt>
              <c:pt idx="6">
                <c:v>43190</c:v>
              </c:pt>
              <c:pt idx="7">
                <c:v>43220</c:v>
              </c:pt>
              <c:pt idx="8">
                <c:v>43251</c:v>
              </c:pt>
              <c:pt idx="9">
                <c:v>43281</c:v>
              </c:pt>
              <c:pt idx="10">
                <c:v>43312</c:v>
              </c:pt>
              <c:pt idx="11">
                <c:v>43343</c:v>
              </c:pt>
            </c:numLit>
          </c:cat>
          <c:val>
            <c:numLit>
              <c:formatCode>General</c:formatCode>
              <c:ptCount val="12"/>
              <c:pt idx="0">
                <c:v>1</c:v>
              </c:pt>
              <c:pt idx="1">
                <c:v>9152731</c:v>
              </c:pt>
              <c:pt idx="2">
                <c:v>9152731</c:v>
              </c:pt>
              <c:pt idx="3">
                <c:v>12932189</c:v>
              </c:pt>
              <c:pt idx="4">
                <c:v>11444189</c:v>
              </c:pt>
              <c:pt idx="5">
                <c:v>11168189</c:v>
              </c:pt>
              <c:pt idx="6">
                <c:v>18968731</c:v>
              </c:pt>
              <c:pt idx="7">
                <c:v>21196049</c:v>
              </c:pt>
              <c:pt idx="8">
                <c:v>24908937</c:v>
              </c:pt>
              <c:pt idx="9">
                <c:v>20325779</c:v>
              </c:pt>
              <c:pt idx="10">
                <c:v>20958979</c:v>
              </c:pt>
              <c:pt idx="11">
                <c:v>21672649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ECB-4F0F-834E-ADB6042EAEA2}"/>
            </c:ext>
          </c:extLst>
        </c:ser>
        <c:ser>
          <c:idx val="0"/>
          <c:order val="1"/>
          <c:tx>
            <c:v>Net Outstanding:</c:v>
          </c:tx>
          <c:marker>
            <c:symbol val="none"/>
          </c:marker>
          <c:cat>
            <c:numLit>
              <c:formatCode>General</c:formatCode>
              <c:ptCount val="12"/>
              <c:pt idx="0">
                <c:v>43008</c:v>
              </c:pt>
              <c:pt idx="1">
                <c:v>43039</c:v>
              </c:pt>
              <c:pt idx="2">
                <c:v>43069</c:v>
              </c:pt>
              <c:pt idx="3">
                <c:v>43100</c:v>
              </c:pt>
              <c:pt idx="4">
                <c:v>43131</c:v>
              </c:pt>
              <c:pt idx="5">
                <c:v>43159</c:v>
              </c:pt>
              <c:pt idx="6">
                <c:v>43190</c:v>
              </c:pt>
              <c:pt idx="7">
                <c:v>43220</c:v>
              </c:pt>
              <c:pt idx="8">
                <c:v>43251</c:v>
              </c:pt>
              <c:pt idx="9">
                <c:v>43281</c:v>
              </c:pt>
              <c:pt idx="10">
                <c:v>43312</c:v>
              </c:pt>
              <c:pt idx="11">
                <c:v>43343</c:v>
              </c:pt>
            </c:numLit>
          </c:cat>
          <c:val>
            <c:numLit>
              <c:formatCode>General</c:formatCode>
              <c:ptCount val="12"/>
              <c:pt idx="0">
                <c:v>1</c:v>
              </c:pt>
              <c:pt idx="1">
                <c:v>2543817.08</c:v>
              </c:pt>
              <c:pt idx="2">
                <c:v>3305359.42</c:v>
              </c:pt>
              <c:pt idx="3">
                <c:v>4391912.2300000004</c:v>
              </c:pt>
              <c:pt idx="4">
                <c:v>4907252.51</c:v>
              </c:pt>
              <c:pt idx="5">
                <c:v>7022142.1600000001</c:v>
              </c:pt>
              <c:pt idx="6">
                <c:v>10090603.560000001</c:v>
              </c:pt>
              <c:pt idx="7">
                <c:v>11170287.52</c:v>
              </c:pt>
              <c:pt idx="8">
                <c:v>10951372.02</c:v>
              </c:pt>
              <c:pt idx="9">
                <c:v>11888927.93</c:v>
              </c:pt>
              <c:pt idx="10">
                <c:v>10774286.369999999</c:v>
              </c:pt>
              <c:pt idx="11">
                <c:v>10995293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CB-4F0F-834E-ADB6042EA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631320"/>
        <c:axId val="165935752"/>
      </c:lineChart>
      <c:catAx>
        <c:axId val="348631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935752"/>
        <c:crosses val="autoZero"/>
        <c:auto val="1"/>
        <c:lblAlgn val="ctr"/>
        <c:lblOffset val="100"/>
        <c:noMultiLvlLbl val="0"/>
      </c:catAx>
      <c:valAx>
        <c:axId val="165935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348631320"/>
        <c:crosses val="autoZero"/>
        <c:crossBetween val="between"/>
        <c:majorUnit val="10000000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</a:t>
            </a:r>
            <a:r>
              <a:rPr lang="en-US" baseline="0"/>
              <a:t> Balances</a:t>
            </a:r>
            <a:endParaRPr lang="en-US"/>
          </a:p>
        </c:rich>
      </c:tx>
      <c:layout>
        <c:manualLayout>
          <c:xMode val="edge"/>
          <c:yMode val="edge"/>
          <c:x val="0.34732548004284702"/>
          <c:y val="5.700298909505761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RLOC!$C$27</c:f>
              <c:strCache>
                <c:ptCount val="1"/>
                <c:pt idx="0">
                  <c:v>Commitment:</c:v>
                </c:pt>
              </c:strCache>
            </c:strRef>
          </c:tx>
          <c:marker>
            <c:symbol val="none"/>
          </c:marker>
          <c:cat>
            <c:numRef>
              <c:f>RLOC!$B$29:$B$40</c:f>
              <c:numCache>
                <c:formatCode>mmm\-yy</c:formatCode>
                <c:ptCount val="12"/>
                <c:pt idx="0">
                  <c:v>45626</c:v>
                </c:pt>
                <c:pt idx="1">
                  <c:v>45657</c:v>
                </c:pt>
                <c:pt idx="2">
                  <c:v>45688</c:v>
                </c:pt>
                <c:pt idx="3">
                  <c:v>45716</c:v>
                </c:pt>
                <c:pt idx="4">
                  <c:v>45747</c:v>
                </c:pt>
                <c:pt idx="5">
                  <c:v>45777</c:v>
                </c:pt>
                <c:pt idx="6">
                  <c:v>45808</c:v>
                </c:pt>
                <c:pt idx="7">
                  <c:v>45838</c:v>
                </c:pt>
                <c:pt idx="8">
                  <c:v>45869</c:v>
                </c:pt>
                <c:pt idx="9">
                  <c:v>45900</c:v>
                </c:pt>
                <c:pt idx="10">
                  <c:v>45930</c:v>
                </c:pt>
                <c:pt idx="11">
                  <c:v>45961</c:v>
                </c:pt>
              </c:numCache>
            </c:numRef>
          </c:cat>
          <c:val>
            <c:numRef>
              <c:f>RLOC!$C$29:$C$40</c:f>
              <c:numCache>
                <c:formatCode>_("$"* #,##0_);_("$"* \(#,##0\);_("$"* "-"??_);_(@_)</c:formatCode>
                <c:ptCount val="12"/>
                <c:pt idx="0">
                  <c:v>10504115</c:v>
                </c:pt>
                <c:pt idx="1">
                  <c:v>8956915</c:v>
                </c:pt>
                <c:pt idx="2">
                  <c:v>8956915</c:v>
                </c:pt>
                <c:pt idx="3">
                  <c:v>8452915</c:v>
                </c:pt>
                <c:pt idx="4">
                  <c:v>8452915</c:v>
                </c:pt>
                <c:pt idx="5">
                  <c:v>14411627</c:v>
                </c:pt>
                <c:pt idx="6">
                  <c:v>13378907</c:v>
                </c:pt>
                <c:pt idx="7">
                  <c:v>15992289.42</c:v>
                </c:pt>
                <c:pt idx="8">
                  <c:v>14715317</c:v>
                </c:pt>
                <c:pt idx="9">
                  <c:v>14057019</c:v>
                </c:pt>
                <c:pt idx="10">
                  <c:v>14057019</c:v>
                </c:pt>
                <c:pt idx="11">
                  <c:v>13398720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1-4AA2-A634-11F8F41C6DFD}"/>
            </c:ext>
          </c:extLst>
        </c:ser>
        <c:ser>
          <c:idx val="0"/>
          <c:order val="1"/>
          <c:tx>
            <c:strRef>
              <c:f>RLOC!$D$28</c:f>
              <c:strCache>
                <c:ptCount val="1"/>
                <c:pt idx="0">
                  <c:v>Net Outstanding:</c:v>
                </c:pt>
              </c:strCache>
            </c:strRef>
          </c:tx>
          <c:marker>
            <c:symbol val="none"/>
          </c:marker>
          <c:cat>
            <c:numRef>
              <c:f>RLOC!$B$29:$B$40</c:f>
              <c:numCache>
                <c:formatCode>mmm\-yy</c:formatCode>
                <c:ptCount val="12"/>
                <c:pt idx="0">
                  <c:v>45626</c:v>
                </c:pt>
                <c:pt idx="1">
                  <c:v>45657</c:v>
                </c:pt>
                <c:pt idx="2">
                  <c:v>45688</c:v>
                </c:pt>
                <c:pt idx="3">
                  <c:v>45716</c:v>
                </c:pt>
                <c:pt idx="4">
                  <c:v>45747</c:v>
                </c:pt>
                <c:pt idx="5">
                  <c:v>45777</c:v>
                </c:pt>
                <c:pt idx="6">
                  <c:v>45808</c:v>
                </c:pt>
                <c:pt idx="7">
                  <c:v>45838</c:v>
                </c:pt>
                <c:pt idx="8">
                  <c:v>45869</c:v>
                </c:pt>
                <c:pt idx="9">
                  <c:v>45900</c:v>
                </c:pt>
                <c:pt idx="10">
                  <c:v>45930</c:v>
                </c:pt>
                <c:pt idx="11">
                  <c:v>45961</c:v>
                </c:pt>
              </c:numCache>
            </c:numRef>
          </c:cat>
          <c:val>
            <c:numRef>
              <c:f>RLOC!$D$29:$D$40</c:f>
              <c:numCache>
                <c:formatCode>_("$"* #,##0_);_("$"* \(#,##0\);_("$"* "-"??_);_(@_)</c:formatCode>
                <c:ptCount val="12"/>
                <c:pt idx="0">
                  <c:v>4454508.13</c:v>
                </c:pt>
                <c:pt idx="1">
                  <c:v>2877101.56</c:v>
                </c:pt>
                <c:pt idx="2">
                  <c:v>2895988.6</c:v>
                </c:pt>
                <c:pt idx="3">
                  <c:v>2824919.82</c:v>
                </c:pt>
                <c:pt idx="4">
                  <c:v>2833827.4</c:v>
                </c:pt>
                <c:pt idx="5">
                  <c:v>6997804.3399999999</c:v>
                </c:pt>
                <c:pt idx="6">
                  <c:v>4923215.25</c:v>
                </c:pt>
                <c:pt idx="7">
                  <c:v>8013155.6799999997</c:v>
                </c:pt>
                <c:pt idx="8">
                  <c:v>7149665.79</c:v>
                </c:pt>
                <c:pt idx="9">
                  <c:v>6808477.9699999997</c:v>
                </c:pt>
                <c:pt idx="10">
                  <c:v>7551657.2699999996</c:v>
                </c:pt>
                <c:pt idx="11">
                  <c:v>6394608.3399999999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1-4AA2-A634-11F8F41C6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631320"/>
        <c:axId val="165935752"/>
      </c:lineChart>
      <c:dateAx>
        <c:axId val="3486313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crossAx val="165935752"/>
        <c:crosses val="autoZero"/>
        <c:auto val="0"/>
        <c:lblOffset val="100"/>
        <c:baseTimeUnit val="months"/>
      </c:dateAx>
      <c:valAx>
        <c:axId val="165935752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348631320"/>
        <c:crossesAt val="1"/>
        <c:crossBetween val="between"/>
        <c:majorUnit val="10000000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838199</xdr:colOff>
      <xdr:row>5</xdr:row>
      <xdr:rowOff>0</xdr:rowOff>
    </xdr:from>
    <xdr:to>
      <xdr:col>7</xdr:col>
      <xdr:colOff>971550</xdr:colOff>
      <xdr:row>16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C6A653-0A9F-46D4-8DCC-ABF8A3C87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1066799</xdr:colOff>
      <xdr:row>28</xdr:row>
      <xdr:rowOff>15241</xdr:rowOff>
    </xdr:from>
    <xdr:to>
      <xdr:col>7</xdr:col>
      <xdr:colOff>998220</xdr:colOff>
      <xdr:row>39</xdr:row>
      <xdr:rowOff>152401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C20A4-E8B6-4A76-9C94-4040C4A92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895349</xdr:colOff>
      <xdr:row>28</xdr:row>
      <xdr:rowOff>15241</xdr:rowOff>
    </xdr:from>
    <xdr:to>
      <xdr:col>7</xdr:col>
      <xdr:colOff>979170</xdr:colOff>
      <xdr:row>39</xdr:row>
      <xdr:rowOff>152401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A66F44F-4B7C-4089-9353-40B69DE25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332912</xdr:colOff>
      <xdr:row>9</xdr:row>
      <xdr:rowOff>27742</xdr:rowOff>
    </xdr:from>
    <xdr:to>
      <xdr:col>24</xdr:col>
      <xdr:colOff>60771</xdr:colOff>
      <xdr:row>31</xdr:row>
      <xdr:rowOff>105892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1B76B1-13FC-42E0-BE40-1363D18B1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2787" y="1218367"/>
          <a:ext cx="2090059" cy="1459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9</xdr:col>
      <xdr:colOff>633530</xdr:colOff>
      <xdr:row>67</xdr:row>
      <xdr:rowOff>81288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CAF264-64C8-4380-A74C-AE6A2812C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219825"/>
          <a:ext cx="6519980" cy="5224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2368-8AFC-4300-AB2F-213F15374C30}">
  <dimension ref="B1:P775"/>
  <sheetViews>
    <sheetView showGridLines="0" tabSelected="1" zoomScaleNormal="100" workbookViewId="0"/>
  </sheetViews>
  <sheetFormatPr defaultColWidth="8.85546875" defaultRowHeight="12.75" x14ac:dyDescent="0.25"/>
  <cols>
    <col min="1" max="1" width="1.7109375" style="1825" customWidth="1"/>
    <col min="2" max="2" width="25.5703125" style="1825" customWidth="1"/>
    <col min="3" max="3" width="7.28515625" style="1825" bestFit="1" customWidth="1"/>
    <col min="4" max="7" width="12.7109375" style="1825" customWidth="1"/>
    <col min="8" max="8" width="7.140625" style="1825" customWidth="1"/>
    <col min="9" max="9" width="5.140625" style="1825" customWidth="1"/>
    <col min="10" max="10" width="8.28515625" style="1825" customWidth="1"/>
    <col min="11" max="12" width="5.5703125" style="1825" bestFit="1" customWidth="1"/>
    <col min="13" max="13" width="6.28515625" style="1825" bestFit="1" customWidth="1"/>
    <col min="14" max="14" width="6.7109375" style="1825" bestFit="1" customWidth="1"/>
    <col min="15" max="15" width="1.7109375" style="1825" customWidth="1"/>
    <col min="16" max="16" width="10" style="1825" bestFit="1" customWidth="1"/>
    <col min="17" max="16384" width="8.85546875" style="1825"/>
  </cols>
  <sheetData>
    <row r="1" spans="2:16" s="1823" customFormat="1" ht="9.9499999999999993" customHeight="1" x14ac:dyDescent="0.25">
      <c r="D1" s="1824" t="s">
        <v>0</v>
      </c>
      <c r="E1" s="1824"/>
    </row>
    <row r="2" spans="2:16" ht="13.5" thickBot="1" x14ac:dyDescent="0.3">
      <c r="E2" s="1824"/>
    </row>
    <row r="3" spans="2:16" ht="12.75" customHeight="1" x14ac:dyDescent="0.25">
      <c r="B3" s="1946" t="s">
        <v>1</v>
      </c>
      <c r="C3" s="1952" t="s">
        <v>2</v>
      </c>
      <c r="D3" s="1952" t="s">
        <v>3</v>
      </c>
      <c r="E3" s="1826" t="s">
        <v>4</v>
      </c>
      <c r="F3" s="1955" t="s">
        <v>5</v>
      </c>
      <c r="G3" s="1956"/>
      <c r="H3" s="1956"/>
      <c r="I3" s="1956"/>
      <c r="J3" s="1956"/>
      <c r="K3" s="1956"/>
      <c r="L3" s="1956"/>
      <c r="M3" s="1956"/>
      <c r="N3" s="1957"/>
    </row>
    <row r="4" spans="2:16" ht="12.75" customHeight="1" x14ac:dyDescent="0.25">
      <c r="B4" s="1947"/>
      <c r="C4" s="1953"/>
      <c r="D4" s="1953"/>
      <c r="E4" s="1827" t="s">
        <v>6</v>
      </c>
      <c r="F4" s="1953" t="s">
        <v>7</v>
      </c>
      <c r="G4" s="1953" t="s">
        <v>8</v>
      </c>
      <c r="H4" s="1953" t="s">
        <v>9</v>
      </c>
      <c r="I4" s="1953" t="s">
        <v>10</v>
      </c>
      <c r="J4" s="1958" t="s">
        <v>11</v>
      </c>
      <c r="K4" s="1959"/>
      <c r="L4" s="1960" t="s">
        <v>12</v>
      </c>
      <c r="M4" s="1960" t="s">
        <v>13</v>
      </c>
      <c r="N4" s="1962" t="s">
        <v>14</v>
      </c>
    </row>
    <row r="5" spans="2:16" ht="12.75" customHeight="1" x14ac:dyDescent="0.25">
      <c r="B5" s="1948"/>
      <c r="C5" s="1954"/>
      <c r="D5" s="1954"/>
      <c r="E5" s="1828" t="s">
        <v>15</v>
      </c>
      <c r="F5" s="1954"/>
      <c r="G5" s="1954"/>
      <c r="H5" s="1954"/>
      <c r="I5" s="1954"/>
      <c r="J5" s="1828" t="s">
        <v>16</v>
      </c>
      <c r="K5" s="1828" t="s">
        <v>17</v>
      </c>
      <c r="L5" s="1961"/>
      <c r="M5" s="1961"/>
      <c r="N5" s="1963"/>
    </row>
    <row r="6" spans="2:16" ht="15" customHeight="1" x14ac:dyDescent="0.25">
      <c r="B6" s="1829"/>
      <c r="C6" s="1830"/>
      <c r="D6" s="1831"/>
      <c r="E6" s="1831"/>
      <c r="F6" s="1831"/>
      <c r="G6" s="1831"/>
      <c r="H6" s="1832"/>
      <c r="I6" s="1833"/>
      <c r="J6" s="1834"/>
      <c r="K6" s="1834"/>
      <c r="L6" s="1835"/>
      <c r="M6" s="1830"/>
      <c r="N6" s="1836"/>
    </row>
    <row r="7" spans="2:16" ht="15" customHeight="1" thickBot="1" x14ac:dyDescent="0.3">
      <c r="B7" s="1837"/>
      <c r="C7" s="1823"/>
      <c r="D7" s="1838"/>
      <c r="E7" s="1839"/>
      <c r="F7" s="1838"/>
      <c r="G7" s="1840"/>
      <c r="H7" s="1841"/>
      <c r="I7" s="1842"/>
      <c r="J7" s="1843"/>
      <c r="K7" s="1843"/>
      <c r="L7" s="1844"/>
      <c r="M7" s="1842"/>
      <c r="N7" s="1845"/>
      <c r="P7" s="1824" t="s">
        <v>0</v>
      </c>
    </row>
    <row r="8" spans="2:16" ht="15" customHeight="1" thickBot="1" x14ac:dyDescent="0.3">
      <c r="B8" s="1846" t="s">
        <v>18</v>
      </c>
      <c r="C8" s="1847"/>
      <c r="D8" s="1848">
        <f>+D6+D7</f>
        <v>0</v>
      </c>
      <c r="E8" s="1848">
        <f>SUM(E6:E7)</f>
        <v>0</v>
      </c>
      <c r="F8" s="1848">
        <f t="shared" ref="F8:G8" si="0">+F6+F7</f>
        <v>0</v>
      </c>
      <c r="G8" s="1849">
        <f t="shared" si="0"/>
        <v>0</v>
      </c>
      <c r="H8" s="1850"/>
      <c r="I8" s="1850"/>
      <c r="J8" s="1851"/>
      <c r="K8" s="1851"/>
      <c r="L8" s="1851"/>
      <c r="M8" s="1850"/>
      <c r="N8" s="1850"/>
    </row>
    <row r="9" spans="2:16" ht="15" customHeight="1" x14ac:dyDescent="0.25">
      <c r="B9" s="1852"/>
      <c r="C9" s="1830"/>
      <c r="D9" s="1853"/>
      <c r="E9" s="1853"/>
      <c r="F9" s="1853"/>
      <c r="G9" s="1853"/>
      <c r="H9" s="1854"/>
      <c r="I9" s="1855"/>
      <c r="J9" s="1856"/>
      <c r="K9" s="1856"/>
      <c r="L9" s="1856"/>
      <c r="M9" s="1855"/>
      <c r="N9" s="1857"/>
      <c r="P9" s="1824" t="s">
        <v>0</v>
      </c>
    </row>
    <row r="10" spans="2:16" ht="15" customHeight="1" x14ac:dyDescent="0.25">
      <c r="B10" s="1852"/>
      <c r="C10" s="1830"/>
      <c r="D10" s="1853"/>
      <c r="E10" s="1853"/>
      <c r="F10" s="1853"/>
      <c r="G10" s="1853"/>
      <c r="H10" s="1858"/>
      <c r="I10" s="1859"/>
      <c r="J10" s="1860"/>
      <c r="K10" s="1860"/>
      <c r="L10" s="1860"/>
      <c r="M10" s="1859"/>
      <c r="N10" s="1861"/>
      <c r="P10" s="1824" t="s">
        <v>0</v>
      </c>
    </row>
    <row r="11" spans="2:16" ht="15" customHeight="1" thickBot="1" x14ac:dyDescent="0.3">
      <c r="B11" s="1852"/>
      <c r="C11" s="1833"/>
      <c r="D11" s="1853"/>
      <c r="E11" s="1853"/>
      <c r="F11" s="1853"/>
      <c r="G11" s="1853"/>
      <c r="H11" s="1862"/>
      <c r="I11" s="1863"/>
      <c r="J11" s="1864"/>
      <c r="K11" s="1864"/>
      <c r="L11" s="1864"/>
      <c r="M11" s="1863"/>
      <c r="N11" s="1865"/>
      <c r="P11" s="1824" t="s">
        <v>0</v>
      </c>
    </row>
    <row r="12" spans="2:16" ht="15" customHeight="1" x14ac:dyDescent="0.25">
      <c r="B12" s="1846" t="s">
        <v>19</v>
      </c>
      <c r="C12" s="1866"/>
      <c r="D12" s="1848">
        <f>SUM(D9:D11)</f>
        <v>0</v>
      </c>
      <c r="E12" s="1848">
        <f t="shared" ref="E12:F12" si="1">SUM(E9:E11)</f>
        <v>0</v>
      </c>
      <c r="F12" s="1848">
        <f t="shared" si="1"/>
        <v>0</v>
      </c>
      <c r="G12" s="1849">
        <f>SUM(G9:G11)</f>
        <v>0</v>
      </c>
      <c r="H12" s="1823"/>
      <c r="I12" s="1823"/>
      <c r="J12" s="1823"/>
      <c r="K12" s="1823"/>
      <c r="L12" s="1823"/>
      <c r="M12" s="1823"/>
      <c r="N12" s="1823"/>
    </row>
    <row r="13" spans="2:16" ht="15" customHeight="1" x14ac:dyDescent="0.25">
      <c r="B13" s="1867" t="s">
        <v>20</v>
      </c>
      <c r="C13" s="1868"/>
      <c r="D13" s="1869">
        <f>+D8+D12</f>
        <v>0</v>
      </c>
      <c r="E13" s="1869">
        <f>+E8+E12</f>
        <v>0</v>
      </c>
      <c r="F13" s="1869">
        <f>+F8+F12</f>
        <v>0</v>
      </c>
      <c r="G13" s="1870">
        <f>+G8+G12</f>
        <v>0</v>
      </c>
      <c r="H13" s="1823"/>
      <c r="I13" s="1823"/>
      <c r="J13" s="1823"/>
      <c r="K13" s="1823"/>
      <c r="L13" s="1823"/>
      <c r="M13" s="1823"/>
      <c r="N13" s="1823"/>
    </row>
    <row r="14" spans="2:16" ht="15" customHeight="1" thickBot="1" x14ac:dyDescent="0.3">
      <c r="B14" s="1871" t="s">
        <v>21</v>
      </c>
      <c r="C14" s="1950" t="s">
        <v>22</v>
      </c>
      <c r="D14" s="1950"/>
      <c r="E14" s="1950"/>
      <c r="F14" s="1950"/>
      <c r="G14" s="1951"/>
      <c r="H14" s="1823"/>
      <c r="I14" s="1823"/>
      <c r="J14" s="1823"/>
      <c r="K14" s="1823"/>
      <c r="L14" s="1823"/>
      <c r="M14" s="1823"/>
      <c r="N14" s="1823"/>
    </row>
    <row r="15" spans="2:16" ht="12" customHeight="1" x14ac:dyDescent="0.25"/>
    <row r="16" spans="2:16" ht="12" customHeight="1" x14ac:dyDescent="0.25"/>
    <row r="17" spans="3:14" ht="12" customHeight="1" x14ac:dyDescent="0.25"/>
    <row r="18" spans="3:14" ht="12" customHeight="1" x14ac:dyDescent="0.25">
      <c r="C18" s="1872"/>
      <c r="D18" s="1872" t="s">
        <v>23</v>
      </c>
      <c r="E18" s="1872"/>
      <c r="F18" s="1949" t="s">
        <v>22</v>
      </c>
      <c r="G18" s="1949"/>
      <c r="H18" s="1872"/>
      <c r="I18" s="1872"/>
      <c r="J18" s="1872"/>
      <c r="K18" s="1872"/>
      <c r="L18" s="1872"/>
      <c r="M18" s="1872"/>
      <c r="N18" s="1872" t="s">
        <v>23</v>
      </c>
    </row>
    <row r="19" spans="3:14" ht="12" customHeight="1" x14ac:dyDescent="0.25">
      <c r="C19" s="1872"/>
      <c r="D19" s="1872" t="s">
        <v>24</v>
      </c>
      <c r="E19" s="1872"/>
      <c r="F19" s="1872" t="s">
        <v>25</v>
      </c>
      <c r="G19" s="1872"/>
      <c r="H19" s="1872"/>
      <c r="I19" s="1872"/>
      <c r="J19" s="1872"/>
      <c r="K19" s="1872"/>
      <c r="L19" s="1872"/>
      <c r="M19" s="1872"/>
      <c r="N19" s="1872" t="s">
        <v>26</v>
      </c>
    </row>
    <row r="20" spans="3:14" ht="12" customHeight="1" x14ac:dyDescent="0.25">
      <c r="C20" s="1872"/>
      <c r="D20" s="1872" t="s">
        <v>27</v>
      </c>
      <c r="E20" s="1872"/>
      <c r="F20" s="1872" t="s">
        <v>28</v>
      </c>
      <c r="G20" s="1872"/>
      <c r="H20" s="1872"/>
      <c r="I20" s="1872"/>
      <c r="J20" s="1872"/>
      <c r="K20" s="1872"/>
      <c r="L20" s="1872"/>
      <c r="M20" s="1872"/>
      <c r="N20" s="1872" t="s">
        <v>29</v>
      </c>
    </row>
    <row r="21" spans="3:14" ht="12" customHeight="1" x14ac:dyDescent="0.25">
      <c r="C21" s="1872"/>
      <c r="D21" s="1872" t="s">
        <v>27</v>
      </c>
      <c r="E21" s="1872"/>
      <c r="F21" s="1872" t="s">
        <v>30</v>
      </c>
      <c r="G21" s="1872"/>
      <c r="H21" s="1872"/>
      <c r="I21" s="1872"/>
      <c r="J21" s="1872"/>
      <c r="K21" s="1872"/>
      <c r="L21" s="1872"/>
      <c r="M21" s="1872"/>
      <c r="N21" s="1872" t="s">
        <v>31</v>
      </c>
    </row>
    <row r="22" spans="3:14" ht="12" customHeight="1" x14ac:dyDescent="0.25">
      <c r="C22" s="1872"/>
      <c r="D22" s="1872" t="s">
        <v>32</v>
      </c>
      <c r="E22" s="1872"/>
      <c r="F22" s="1872" t="s">
        <v>33</v>
      </c>
      <c r="G22" s="1872"/>
      <c r="H22" s="1872"/>
      <c r="I22" s="1872"/>
      <c r="J22" s="1872"/>
      <c r="K22" s="1872"/>
      <c r="L22" s="1872"/>
      <c r="M22" s="1872"/>
      <c r="N22" s="1872" t="s">
        <v>34</v>
      </c>
    </row>
    <row r="23" spans="3:14" ht="12" customHeight="1" x14ac:dyDescent="0.25">
      <c r="C23" s="1872"/>
      <c r="D23" s="1872" t="s">
        <v>24</v>
      </c>
      <c r="E23" s="1872"/>
      <c r="F23" s="1872" t="s">
        <v>35</v>
      </c>
      <c r="H23" s="1872"/>
      <c r="I23" s="1872"/>
      <c r="J23" s="1872"/>
      <c r="K23" s="1872"/>
      <c r="L23" s="1872"/>
      <c r="M23" s="1872"/>
      <c r="N23" s="1872"/>
    </row>
    <row r="24" spans="3:14" ht="12" customHeight="1" x14ac:dyDescent="0.25">
      <c r="C24" s="1872"/>
      <c r="D24" s="1872" t="s">
        <v>3</v>
      </c>
      <c r="E24" s="1872"/>
      <c r="F24" s="1872"/>
      <c r="G24" s="1872"/>
      <c r="H24" s="1872"/>
      <c r="I24" s="1872"/>
      <c r="J24" s="1872"/>
      <c r="K24" s="1872"/>
      <c r="L24" s="1872"/>
      <c r="M24" s="1872"/>
      <c r="N24" s="1872"/>
    </row>
    <row r="25" spans="3:14" ht="12" customHeight="1" x14ac:dyDescent="0.25">
      <c r="D25" s="1872"/>
      <c r="E25" s="1872"/>
      <c r="F25" s="1872"/>
      <c r="G25" s="1872"/>
      <c r="H25" s="1872"/>
      <c r="I25" s="1872"/>
      <c r="J25" s="1872"/>
      <c r="K25" s="1872"/>
      <c r="L25" s="1872"/>
      <c r="M25" s="1872"/>
      <c r="N25" s="1872"/>
    </row>
    <row r="26" spans="3:14" ht="12" customHeight="1" x14ac:dyDescent="0.25">
      <c r="D26" s="1872"/>
      <c r="E26" s="1872"/>
      <c r="F26" s="1872"/>
      <c r="G26" s="1872"/>
      <c r="H26" s="1872"/>
      <c r="I26" s="1872"/>
      <c r="J26" s="1872"/>
      <c r="K26" s="1872"/>
      <c r="L26" s="1872"/>
      <c r="M26" s="1872"/>
      <c r="N26" s="1872"/>
    </row>
    <row r="27" spans="3:14" ht="12" customHeight="1" x14ac:dyDescent="0.25">
      <c r="D27" s="1872"/>
      <c r="E27" s="1872"/>
      <c r="H27" s="1872"/>
      <c r="I27" s="1872"/>
      <c r="J27" s="1872"/>
      <c r="K27" s="1872"/>
      <c r="L27" s="1872"/>
      <c r="M27" s="1872"/>
      <c r="N27" s="1872"/>
    </row>
    <row r="28" spans="3:14" ht="12" customHeight="1" x14ac:dyDescent="0.25">
      <c r="D28" s="1873"/>
      <c r="E28" s="1872"/>
      <c r="H28" s="1872"/>
      <c r="I28" s="1872"/>
      <c r="J28" s="1872"/>
      <c r="K28" s="1872"/>
      <c r="L28" s="1872"/>
      <c r="M28" s="1872"/>
      <c r="N28" s="1872"/>
    </row>
    <row r="29" spans="3:14" ht="12" customHeight="1" x14ac:dyDescent="0.25">
      <c r="D29" s="1874"/>
      <c r="E29" s="1872"/>
      <c r="H29" s="1872"/>
      <c r="I29" s="1872"/>
      <c r="J29" s="1872"/>
      <c r="K29" s="1872"/>
      <c r="L29" s="1872"/>
      <c r="M29" s="1872"/>
      <c r="N29" s="1872"/>
    </row>
    <row r="30" spans="3:14" ht="12" customHeight="1" x14ac:dyDescent="0.25">
      <c r="D30" s="1874"/>
      <c r="H30" s="1872"/>
      <c r="I30" s="1872"/>
      <c r="J30" s="1872"/>
      <c r="K30" s="1872"/>
      <c r="L30" s="1872"/>
      <c r="M30" s="1872"/>
      <c r="N30" s="1872"/>
    </row>
    <row r="31" spans="3:14" ht="12" customHeight="1" x14ac:dyDescent="0.25">
      <c r="D31" s="1874"/>
      <c r="H31" s="1872"/>
      <c r="I31" s="1872"/>
      <c r="J31" s="1872"/>
      <c r="K31" s="1872"/>
      <c r="L31" s="1872"/>
      <c r="M31" s="1872"/>
      <c r="N31" s="1872"/>
    </row>
    <row r="32" spans="3:14" ht="12" customHeight="1" x14ac:dyDescent="0.25">
      <c r="D32" s="1874"/>
    </row>
    <row r="33" spans="4:11" ht="12" customHeight="1" x14ac:dyDescent="0.25">
      <c r="D33" s="1874"/>
      <c r="F33" s="1872"/>
    </row>
    <row r="34" spans="4:11" ht="12" customHeight="1" x14ac:dyDescent="0.25">
      <c r="D34" s="1874"/>
      <c r="F34" s="1872"/>
    </row>
    <row r="35" spans="4:11" ht="12" customHeight="1" x14ac:dyDescent="0.25">
      <c r="D35" s="1874"/>
      <c r="F35" s="1872"/>
      <c r="K35" s="1873"/>
    </row>
    <row r="36" spans="4:11" ht="12" customHeight="1" x14ac:dyDescent="0.25">
      <c r="D36" s="1874"/>
      <c r="F36" s="1872"/>
    </row>
    <row r="37" spans="4:11" ht="12" customHeight="1" x14ac:dyDescent="0.25">
      <c r="D37" s="1873"/>
      <c r="F37" s="1872"/>
    </row>
    <row r="38" spans="4:11" ht="12" customHeight="1" x14ac:dyDescent="0.25">
      <c r="D38" s="1873"/>
      <c r="F38" s="1872"/>
    </row>
    <row r="39" spans="4:11" ht="12" customHeight="1" x14ac:dyDescent="0.25"/>
    <row r="40" spans="4:11" ht="12" customHeight="1" x14ac:dyDescent="0.25"/>
    <row r="41" spans="4:11" ht="12" customHeight="1" x14ac:dyDescent="0.25"/>
    <row r="42" spans="4:11" ht="12" customHeight="1" x14ac:dyDescent="0.25"/>
    <row r="43" spans="4:11" ht="12" customHeight="1" x14ac:dyDescent="0.25"/>
    <row r="44" spans="4:11" ht="12" customHeight="1" x14ac:dyDescent="0.25"/>
    <row r="45" spans="4:11" ht="12" customHeight="1" x14ac:dyDescent="0.25">
      <c r="F45" s="1875"/>
    </row>
    <row r="46" spans="4:11" ht="12" customHeight="1" x14ac:dyDescent="0.25"/>
    <row r="47" spans="4:11" ht="12" customHeight="1" x14ac:dyDescent="0.25"/>
    <row r="48" spans="4:11" ht="12" customHeight="1" x14ac:dyDescent="0.25"/>
    <row r="49" s="1825" customFormat="1" ht="12" customHeight="1" x14ac:dyDescent="0.25"/>
    <row r="50" s="1825" customFormat="1" ht="12" customHeight="1" x14ac:dyDescent="0.25"/>
    <row r="51" s="1825" customFormat="1" ht="12" customHeight="1" x14ac:dyDescent="0.25"/>
    <row r="52" s="1825" customFormat="1" ht="12" customHeight="1" x14ac:dyDescent="0.25"/>
    <row r="53" s="1825" customFormat="1" ht="12" customHeight="1" x14ac:dyDescent="0.25"/>
    <row r="54" s="1825" customFormat="1" ht="12" customHeight="1" x14ac:dyDescent="0.25"/>
    <row r="55" s="1825" customFormat="1" ht="12" customHeight="1" x14ac:dyDescent="0.25"/>
    <row r="56" s="1825" customFormat="1" ht="12" customHeight="1" x14ac:dyDescent="0.25"/>
    <row r="57" s="1825" customFormat="1" ht="12" customHeight="1" x14ac:dyDescent="0.25"/>
    <row r="58" s="1825" customFormat="1" ht="12" customHeight="1" x14ac:dyDescent="0.25"/>
    <row r="59" s="1825" customFormat="1" ht="12" customHeight="1" x14ac:dyDescent="0.25"/>
    <row r="60" s="1825" customFormat="1" ht="12" customHeight="1" x14ac:dyDescent="0.25"/>
    <row r="61" s="1825" customFormat="1" ht="12" customHeight="1" x14ac:dyDescent="0.25"/>
    <row r="62" s="1825" customFormat="1" ht="12" customHeight="1" x14ac:dyDescent="0.25"/>
    <row r="63" s="1825" customFormat="1" ht="12" customHeight="1" x14ac:dyDescent="0.25"/>
    <row r="64" s="1825" customFormat="1" ht="12" customHeight="1" x14ac:dyDescent="0.25"/>
    <row r="65" s="1825" customFormat="1" ht="12" customHeight="1" x14ac:dyDescent="0.25"/>
    <row r="66" s="1825" customFormat="1" ht="12" customHeight="1" x14ac:dyDescent="0.25"/>
    <row r="67" s="1825" customFormat="1" ht="12" customHeight="1" x14ac:dyDescent="0.25"/>
    <row r="68" s="1825" customFormat="1" ht="12" customHeight="1" x14ac:dyDescent="0.25"/>
    <row r="69" s="1825" customFormat="1" ht="12" customHeight="1" x14ac:dyDescent="0.25"/>
    <row r="70" s="1825" customFormat="1" ht="12" customHeight="1" x14ac:dyDescent="0.25"/>
    <row r="71" s="1825" customFormat="1" ht="12" customHeight="1" x14ac:dyDescent="0.25"/>
    <row r="72" s="1825" customFormat="1" ht="12" customHeight="1" x14ac:dyDescent="0.25"/>
    <row r="73" s="1825" customFormat="1" ht="12" customHeight="1" x14ac:dyDescent="0.25"/>
    <row r="74" s="1825" customFormat="1" ht="12" customHeight="1" x14ac:dyDescent="0.25"/>
    <row r="75" s="1825" customFormat="1" ht="12" customHeight="1" x14ac:dyDescent="0.25"/>
    <row r="76" s="1825" customFormat="1" ht="12" customHeight="1" x14ac:dyDescent="0.25"/>
    <row r="77" s="1825" customFormat="1" ht="12" customHeight="1" x14ac:dyDescent="0.25"/>
    <row r="78" s="1825" customFormat="1" ht="12" customHeight="1" x14ac:dyDescent="0.25"/>
    <row r="79" s="1825" customFormat="1" ht="12" customHeight="1" x14ac:dyDescent="0.25"/>
    <row r="80" s="1825" customFormat="1" ht="12" customHeight="1" x14ac:dyDescent="0.25"/>
    <row r="81" s="1825" customFormat="1" ht="12" customHeight="1" x14ac:dyDescent="0.25"/>
    <row r="82" s="1825" customFormat="1" ht="12" customHeight="1" x14ac:dyDescent="0.25"/>
    <row r="83" s="1825" customFormat="1" ht="12" customHeight="1" x14ac:dyDescent="0.25"/>
    <row r="84" s="1825" customFormat="1" ht="12" customHeight="1" x14ac:dyDescent="0.25"/>
    <row r="85" s="1825" customFormat="1" ht="12" customHeight="1" x14ac:dyDescent="0.25"/>
    <row r="86" s="1825" customFormat="1" ht="12" customHeight="1" x14ac:dyDescent="0.25"/>
    <row r="87" s="1825" customFormat="1" ht="12" customHeight="1" x14ac:dyDescent="0.25"/>
    <row r="88" s="1825" customFormat="1" ht="12" customHeight="1" x14ac:dyDescent="0.25"/>
    <row r="89" s="1825" customFormat="1" ht="12" customHeight="1" x14ac:dyDescent="0.25"/>
    <row r="90" s="1825" customFormat="1" ht="12" customHeight="1" x14ac:dyDescent="0.25"/>
    <row r="91" s="1825" customFormat="1" ht="12" customHeight="1" x14ac:dyDescent="0.25"/>
    <row r="92" s="1825" customFormat="1" ht="12" customHeight="1" x14ac:dyDescent="0.25"/>
    <row r="93" s="1825" customFormat="1" ht="12" customHeight="1" x14ac:dyDescent="0.25"/>
    <row r="94" s="1825" customFormat="1" ht="12" customHeight="1" x14ac:dyDescent="0.25"/>
    <row r="95" s="1825" customFormat="1" ht="12" customHeight="1" x14ac:dyDescent="0.25"/>
    <row r="96" s="1825" customFormat="1" ht="12" customHeight="1" x14ac:dyDescent="0.25"/>
    <row r="97" s="1825" customFormat="1" ht="12" customHeight="1" x14ac:dyDescent="0.25"/>
    <row r="98" s="1825" customFormat="1" ht="12" customHeight="1" x14ac:dyDescent="0.25"/>
    <row r="99" s="1825" customFormat="1" ht="12" customHeight="1" x14ac:dyDescent="0.25"/>
    <row r="100" s="1825" customFormat="1" ht="12" customHeight="1" x14ac:dyDescent="0.25"/>
    <row r="101" s="1825" customFormat="1" ht="12" customHeight="1" x14ac:dyDescent="0.25"/>
    <row r="102" s="1825" customFormat="1" ht="12" customHeight="1" x14ac:dyDescent="0.25"/>
    <row r="103" s="1825" customFormat="1" ht="12" customHeight="1" x14ac:dyDescent="0.25"/>
    <row r="104" s="1825" customFormat="1" ht="12" customHeight="1" x14ac:dyDescent="0.25"/>
    <row r="105" s="1825" customFormat="1" ht="12" customHeight="1" x14ac:dyDescent="0.25"/>
    <row r="106" s="1825" customFormat="1" ht="12" customHeight="1" x14ac:dyDescent="0.25"/>
    <row r="107" s="1825" customFormat="1" ht="12" customHeight="1" x14ac:dyDescent="0.25"/>
    <row r="108" s="1825" customFormat="1" ht="12" customHeight="1" x14ac:dyDescent="0.25"/>
    <row r="109" s="1825" customFormat="1" ht="12" customHeight="1" x14ac:dyDescent="0.25"/>
    <row r="110" s="1825" customFormat="1" ht="12" customHeight="1" x14ac:dyDescent="0.25"/>
    <row r="111" s="1825" customFormat="1" ht="12" customHeight="1" x14ac:dyDescent="0.25"/>
    <row r="112" s="1825" customFormat="1" ht="12" customHeight="1" x14ac:dyDescent="0.25"/>
    <row r="113" s="1825" customFormat="1" ht="12" customHeight="1" x14ac:dyDescent="0.25"/>
    <row r="114" s="1825" customFormat="1" ht="12" customHeight="1" x14ac:dyDescent="0.25"/>
    <row r="115" s="1825" customFormat="1" ht="12" customHeight="1" x14ac:dyDescent="0.25"/>
    <row r="116" s="1825" customFormat="1" ht="12" customHeight="1" x14ac:dyDescent="0.25"/>
    <row r="117" s="1825" customFormat="1" ht="12" customHeight="1" x14ac:dyDescent="0.25"/>
    <row r="118" s="1825" customFormat="1" ht="12" customHeight="1" x14ac:dyDescent="0.25"/>
    <row r="119" s="1825" customFormat="1" ht="12" customHeight="1" x14ac:dyDescent="0.25"/>
    <row r="120" s="1825" customFormat="1" ht="12" customHeight="1" x14ac:dyDescent="0.25"/>
    <row r="121" s="1825" customFormat="1" ht="12" customHeight="1" x14ac:dyDescent="0.25"/>
    <row r="122" s="1825" customFormat="1" ht="12" customHeight="1" x14ac:dyDescent="0.25"/>
    <row r="123" s="1825" customFormat="1" ht="12" customHeight="1" x14ac:dyDescent="0.25"/>
    <row r="124" s="1825" customFormat="1" ht="12" customHeight="1" x14ac:dyDescent="0.25"/>
    <row r="125" s="1825" customFormat="1" ht="12" customHeight="1" x14ac:dyDescent="0.25"/>
    <row r="126" s="1825" customFormat="1" ht="12" customHeight="1" x14ac:dyDescent="0.25"/>
    <row r="127" s="1825" customFormat="1" ht="12" customHeight="1" x14ac:dyDescent="0.25"/>
    <row r="128" s="1825" customFormat="1" ht="12" customHeight="1" x14ac:dyDescent="0.25"/>
    <row r="129" s="1825" customFormat="1" ht="12" customHeight="1" x14ac:dyDescent="0.25"/>
    <row r="130" s="1825" customFormat="1" ht="12" customHeight="1" x14ac:dyDescent="0.25"/>
    <row r="131" s="1825" customFormat="1" ht="12" customHeight="1" x14ac:dyDescent="0.25"/>
    <row r="132" s="1825" customFormat="1" ht="12" customHeight="1" x14ac:dyDescent="0.25"/>
    <row r="133" s="1825" customFormat="1" ht="12" customHeight="1" x14ac:dyDescent="0.25"/>
    <row r="134" s="1825" customFormat="1" ht="12" customHeight="1" x14ac:dyDescent="0.25"/>
    <row r="135" s="1825" customFormat="1" ht="12" customHeight="1" x14ac:dyDescent="0.25"/>
    <row r="136" s="1825" customFormat="1" ht="12" customHeight="1" x14ac:dyDescent="0.25"/>
    <row r="137" s="1825" customFormat="1" ht="12" customHeight="1" x14ac:dyDescent="0.25"/>
    <row r="138" s="1825" customFormat="1" ht="12" customHeight="1" x14ac:dyDescent="0.25"/>
    <row r="139" s="1825" customFormat="1" ht="12" customHeight="1" x14ac:dyDescent="0.25"/>
    <row r="140" s="1825" customFormat="1" ht="12" customHeight="1" x14ac:dyDescent="0.25"/>
    <row r="141" s="1825" customFormat="1" ht="12" customHeight="1" x14ac:dyDescent="0.25"/>
    <row r="142" s="1825" customFormat="1" ht="12" customHeight="1" x14ac:dyDescent="0.25"/>
    <row r="143" s="1825" customFormat="1" ht="12" customHeight="1" x14ac:dyDescent="0.25"/>
    <row r="144" s="1825" customFormat="1" ht="12" customHeight="1" x14ac:dyDescent="0.25"/>
    <row r="145" s="1825" customFormat="1" ht="12" customHeight="1" x14ac:dyDescent="0.25"/>
    <row r="146" s="1825" customFormat="1" ht="12" customHeight="1" x14ac:dyDescent="0.25"/>
    <row r="147" s="1825" customFormat="1" ht="12" customHeight="1" x14ac:dyDescent="0.25"/>
    <row r="148" s="1825" customFormat="1" ht="12" customHeight="1" x14ac:dyDescent="0.25"/>
    <row r="149" s="1825" customFormat="1" ht="12" customHeight="1" x14ac:dyDescent="0.25"/>
    <row r="150" s="1825" customFormat="1" ht="12" customHeight="1" x14ac:dyDescent="0.25"/>
    <row r="151" s="1825" customFormat="1" ht="12" customHeight="1" x14ac:dyDescent="0.25"/>
    <row r="152" s="1825" customFormat="1" ht="12" customHeight="1" x14ac:dyDescent="0.25"/>
    <row r="153" s="1825" customFormat="1" ht="12" customHeight="1" x14ac:dyDescent="0.25"/>
    <row r="154" s="1825" customFormat="1" ht="12" customHeight="1" x14ac:dyDescent="0.25"/>
    <row r="155" s="1825" customFormat="1" ht="12" customHeight="1" x14ac:dyDescent="0.25"/>
    <row r="156" s="1825" customFormat="1" ht="12" customHeight="1" x14ac:dyDescent="0.25"/>
    <row r="157" s="1825" customFormat="1" ht="12" customHeight="1" x14ac:dyDescent="0.25"/>
    <row r="158" s="1825" customFormat="1" ht="12" customHeight="1" x14ac:dyDescent="0.25"/>
    <row r="159" s="1825" customFormat="1" ht="12" customHeight="1" x14ac:dyDescent="0.25"/>
    <row r="160" s="1825" customFormat="1" ht="12" customHeight="1" x14ac:dyDescent="0.25"/>
    <row r="161" s="1825" customFormat="1" ht="12" customHeight="1" x14ac:dyDescent="0.25"/>
    <row r="162" s="1825" customFormat="1" ht="12" customHeight="1" x14ac:dyDescent="0.25"/>
    <row r="163" s="1825" customFormat="1" ht="12" customHeight="1" x14ac:dyDescent="0.25"/>
    <row r="164" s="1825" customFormat="1" ht="12" customHeight="1" x14ac:dyDescent="0.25"/>
    <row r="165" s="1825" customFormat="1" ht="12" customHeight="1" x14ac:dyDescent="0.25"/>
    <row r="166" s="1825" customFormat="1" ht="12" customHeight="1" x14ac:dyDescent="0.25"/>
    <row r="167" s="1825" customFormat="1" ht="12" customHeight="1" x14ac:dyDescent="0.25"/>
    <row r="168" s="1825" customFormat="1" ht="12" customHeight="1" x14ac:dyDescent="0.25"/>
    <row r="169" s="1825" customFormat="1" ht="12" customHeight="1" x14ac:dyDescent="0.25"/>
    <row r="170" s="1825" customFormat="1" ht="12" customHeight="1" x14ac:dyDescent="0.25"/>
    <row r="171" s="1825" customFormat="1" ht="12" customHeight="1" x14ac:dyDescent="0.25"/>
    <row r="172" s="1825" customFormat="1" ht="12" customHeight="1" x14ac:dyDescent="0.25"/>
    <row r="173" s="1825" customFormat="1" ht="12" customHeight="1" x14ac:dyDescent="0.25"/>
    <row r="174" s="1825" customFormat="1" ht="12" customHeight="1" x14ac:dyDescent="0.25"/>
    <row r="175" s="1825" customFormat="1" ht="12" customHeight="1" x14ac:dyDescent="0.25"/>
    <row r="176" s="1825" customFormat="1" ht="12" customHeight="1" x14ac:dyDescent="0.25"/>
    <row r="177" s="1825" customFormat="1" ht="12" customHeight="1" x14ac:dyDescent="0.25"/>
    <row r="178" s="1825" customFormat="1" ht="12" customHeight="1" x14ac:dyDescent="0.25"/>
    <row r="179" s="1825" customFormat="1" ht="12" customHeight="1" x14ac:dyDescent="0.25"/>
    <row r="180" s="1825" customFormat="1" ht="12" customHeight="1" x14ac:dyDescent="0.25"/>
    <row r="181" s="1825" customFormat="1" ht="12" customHeight="1" x14ac:dyDescent="0.25"/>
    <row r="182" s="1825" customFormat="1" ht="12" customHeight="1" x14ac:dyDescent="0.25"/>
    <row r="183" s="1825" customFormat="1" ht="12" customHeight="1" x14ac:dyDescent="0.25"/>
    <row r="184" s="1825" customFormat="1" ht="12" customHeight="1" x14ac:dyDescent="0.25"/>
    <row r="185" s="1825" customFormat="1" ht="12" customHeight="1" x14ac:dyDescent="0.25"/>
    <row r="186" s="1825" customFormat="1" ht="12" customHeight="1" x14ac:dyDescent="0.25"/>
    <row r="187" s="1825" customFormat="1" ht="12" customHeight="1" x14ac:dyDescent="0.25"/>
    <row r="188" s="1825" customFormat="1" ht="12" customHeight="1" x14ac:dyDescent="0.25"/>
    <row r="189" s="1825" customFormat="1" ht="12" customHeight="1" x14ac:dyDescent="0.25"/>
    <row r="190" s="1825" customFormat="1" ht="12" customHeight="1" x14ac:dyDescent="0.25"/>
    <row r="191" s="1825" customFormat="1" ht="12" customHeight="1" x14ac:dyDescent="0.25"/>
    <row r="192" s="1825" customFormat="1" ht="12" customHeight="1" x14ac:dyDescent="0.25"/>
    <row r="193" s="1825" customFormat="1" ht="12" customHeight="1" x14ac:dyDescent="0.25"/>
    <row r="194" s="1825" customFormat="1" ht="12" customHeight="1" x14ac:dyDescent="0.25"/>
    <row r="195" s="1825" customFormat="1" ht="12" customHeight="1" x14ac:dyDescent="0.25"/>
    <row r="196" s="1825" customFormat="1" ht="12" customHeight="1" x14ac:dyDescent="0.25"/>
    <row r="197" s="1825" customFormat="1" ht="12" customHeight="1" x14ac:dyDescent="0.25"/>
    <row r="198" s="1825" customFormat="1" ht="12" customHeight="1" x14ac:dyDescent="0.25"/>
    <row r="199" s="1825" customFormat="1" ht="12" customHeight="1" x14ac:dyDescent="0.25"/>
    <row r="200" s="1825" customFormat="1" ht="12" customHeight="1" x14ac:dyDescent="0.25"/>
    <row r="201" s="1825" customFormat="1" ht="12" customHeight="1" x14ac:dyDescent="0.25"/>
    <row r="202" s="1825" customFormat="1" ht="12" customHeight="1" x14ac:dyDescent="0.25"/>
    <row r="203" s="1825" customFormat="1" ht="12" customHeight="1" x14ac:dyDescent="0.25"/>
    <row r="204" s="1825" customFormat="1" ht="12" customHeight="1" x14ac:dyDescent="0.25"/>
    <row r="205" s="1825" customFormat="1" ht="12" customHeight="1" x14ac:dyDescent="0.25"/>
    <row r="206" s="1825" customFormat="1" ht="12" customHeight="1" x14ac:dyDescent="0.25"/>
    <row r="207" s="1825" customFormat="1" ht="12" customHeight="1" x14ac:dyDescent="0.25"/>
    <row r="208" s="1825" customFormat="1" ht="12" customHeight="1" x14ac:dyDescent="0.25"/>
    <row r="209" s="1825" customFormat="1" ht="12" customHeight="1" x14ac:dyDescent="0.25"/>
    <row r="210" s="1825" customFormat="1" ht="12" customHeight="1" x14ac:dyDescent="0.25"/>
    <row r="211" s="1825" customFormat="1" ht="12" customHeight="1" x14ac:dyDescent="0.25"/>
    <row r="212" s="1825" customFormat="1" ht="12" customHeight="1" x14ac:dyDescent="0.25"/>
    <row r="213" s="1825" customFormat="1" ht="12" customHeight="1" x14ac:dyDescent="0.25"/>
    <row r="214" s="1825" customFormat="1" ht="12" customHeight="1" x14ac:dyDescent="0.25"/>
    <row r="215" s="1825" customFormat="1" ht="12" customHeight="1" x14ac:dyDescent="0.25"/>
    <row r="216" s="1825" customFormat="1" ht="12" customHeight="1" x14ac:dyDescent="0.25"/>
    <row r="217" s="1825" customFormat="1" ht="12" customHeight="1" x14ac:dyDescent="0.25"/>
    <row r="218" s="1825" customFormat="1" ht="12" customHeight="1" x14ac:dyDescent="0.25"/>
    <row r="219" s="1825" customFormat="1" ht="12" customHeight="1" x14ac:dyDescent="0.25"/>
    <row r="220" s="1825" customFormat="1" ht="12" customHeight="1" x14ac:dyDescent="0.25"/>
    <row r="221" s="1825" customFormat="1" ht="12" customHeight="1" x14ac:dyDescent="0.25"/>
    <row r="222" s="1825" customFormat="1" ht="12" customHeight="1" x14ac:dyDescent="0.25"/>
    <row r="223" s="1825" customFormat="1" ht="12" customHeight="1" x14ac:dyDescent="0.25"/>
    <row r="224" s="1825" customFormat="1" ht="12" customHeight="1" x14ac:dyDescent="0.25"/>
    <row r="225" s="1825" customFormat="1" ht="12" customHeight="1" x14ac:dyDescent="0.25"/>
    <row r="226" s="1825" customFormat="1" ht="12" customHeight="1" x14ac:dyDescent="0.25"/>
    <row r="227" s="1825" customFormat="1" ht="12" customHeight="1" x14ac:dyDescent="0.25"/>
    <row r="228" s="1825" customFormat="1" ht="12" customHeight="1" x14ac:dyDescent="0.25"/>
    <row r="229" s="1825" customFormat="1" ht="12" customHeight="1" x14ac:dyDescent="0.25"/>
    <row r="230" s="1825" customFormat="1" ht="12" customHeight="1" x14ac:dyDescent="0.25"/>
    <row r="231" s="1825" customFormat="1" ht="12" customHeight="1" x14ac:dyDescent="0.25"/>
    <row r="232" s="1825" customFormat="1" ht="12" customHeight="1" x14ac:dyDescent="0.25"/>
    <row r="233" s="1825" customFormat="1" ht="12" customHeight="1" x14ac:dyDescent="0.25"/>
    <row r="234" s="1825" customFormat="1" ht="12" customHeight="1" x14ac:dyDescent="0.25"/>
    <row r="235" s="1825" customFormat="1" ht="12" customHeight="1" x14ac:dyDescent="0.25"/>
    <row r="236" s="1825" customFormat="1" ht="12" customHeight="1" x14ac:dyDescent="0.25"/>
    <row r="237" s="1825" customFormat="1" ht="12" customHeight="1" x14ac:dyDescent="0.25"/>
    <row r="238" s="1825" customFormat="1" ht="12" customHeight="1" x14ac:dyDescent="0.25"/>
    <row r="239" s="1825" customFormat="1" ht="12" customHeight="1" x14ac:dyDescent="0.25"/>
    <row r="240" s="1825" customFormat="1" ht="12" customHeight="1" x14ac:dyDescent="0.25"/>
    <row r="241" s="1825" customFormat="1" ht="12" customHeight="1" x14ac:dyDescent="0.25"/>
    <row r="242" s="1825" customFormat="1" ht="12" customHeight="1" x14ac:dyDescent="0.25"/>
    <row r="243" s="1825" customFormat="1" ht="12" customHeight="1" x14ac:dyDescent="0.25"/>
    <row r="244" s="1825" customFormat="1" ht="12" customHeight="1" x14ac:dyDescent="0.25"/>
    <row r="245" s="1825" customFormat="1" ht="12" customHeight="1" x14ac:dyDescent="0.25"/>
    <row r="246" s="1825" customFormat="1" ht="12" customHeight="1" x14ac:dyDescent="0.25"/>
    <row r="247" s="1825" customFormat="1" ht="12" customHeight="1" x14ac:dyDescent="0.25"/>
    <row r="248" s="1825" customFormat="1" ht="12" customHeight="1" x14ac:dyDescent="0.25"/>
    <row r="249" s="1825" customFormat="1" ht="12" customHeight="1" x14ac:dyDescent="0.25"/>
    <row r="250" s="1825" customFormat="1" ht="12" customHeight="1" x14ac:dyDescent="0.25"/>
    <row r="251" s="1825" customFormat="1" ht="12" customHeight="1" x14ac:dyDescent="0.25"/>
    <row r="252" s="1825" customFormat="1" ht="12" customHeight="1" x14ac:dyDescent="0.25"/>
    <row r="253" s="1825" customFormat="1" ht="12" customHeight="1" x14ac:dyDescent="0.25"/>
    <row r="254" s="1825" customFormat="1" ht="12" customHeight="1" x14ac:dyDescent="0.25"/>
    <row r="255" s="1825" customFormat="1" ht="12" customHeight="1" x14ac:dyDescent="0.25"/>
    <row r="256" s="1825" customFormat="1" ht="12" customHeight="1" x14ac:dyDescent="0.25"/>
    <row r="257" s="1825" customFormat="1" ht="12" customHeight="1" x14ac:dyDescent="0.25"/>
    <row r="258" s="1825" customFormat="1" ht="12" customHeight="1" x14ac:dyDescent="0.25"/>
    <row r="259" s="1825" customFormat="1" ht="12" customHeight="1" x14ac:dyDescent="0.25"/>
    <row r="260" s="1825" customFormat="1" ht="12" customHeight="1" x14ac:dyDescent="0.25"/>
    <row r="261" s="1825" customFormat="1" ht="12" customHeight="1" x14ac:dyDescent="0.25"/>
    <row r="262" s="1825" customFormat="1" ht="12" customHeight="1" x14ac:dyDescent="0.25"/>
    <row r="263" s="1825" customFormat="1" ht="12" customHeight="1" x14ac:dyDescent="0.25"/>
    <row r="264" s="1825" customFormat="1" ht="12" customHeight="1" x14ac:dyDescent="0.25"/>
    <row r="265" s="1825" customFormat="1" ht="12" customHeight="1" x14ac:dyDescent="0.25"/>
    <row r="266" s="1825" customFormat="1" ht="12" customHeight="1" x14ac:dyDescent="0.25"/>
    <row r="267" s="1825" customFormat="1" ht="12" customHeight="1" x14ac:dyDescent="0.25"/>
    <row r="268" s="1825" customFormat="1" ht="12" customHeight="1" x14ac:dyDescent="0.25"/>
    <row r="269" s="1825" customFormat="1" ht="12" customHeight="1" x14ac:dyDescent="0.25"/>
    <row r="270" s="1825" customFormat="1" ht="12" customHeight="1" x14ac:dyDescent="0.25"/>
    <row r="271" s="1825" customFormat="1" ht="12" customHeight="1" x14ac:dyDescent="0.25"/>
    <row r="272" s="1825" customFormat="1" ht="12" customHeight="1" x14ac:dyDescent="0.25"/>
    <row r="273" s="1825" customFormat="1" ht="12" customHeight="1" x14ac:dyDescent="0.25"/>
    <row r="274" s="1825" customFormat="1" ht="12" customHeight="1" x14ac:dyDescent="0.25"/>
    <row r="275" s="1825" customFormat="1" ht="12" customHeight="1" x14ac:dyDescent="0.25"/>
    <row r="276" s="1825" customFormat="1" ht="12" customHeight="1" x14ac:dyDescent="0.25"/>
    <row r="277" s="1825" customFormat="1" ht="12" customHeight="1" x14ac:dyDescent="0.25"/>
    <row r="278" s="1825" customFormat="1" ht="12" customHeight="1" x14ac:dyDescent="0.25"/>
    <row r="279" s="1825" customFormat="1" ht="12" customHeight="1" x14ac:dyDescent="0.25"/>
    <row r="280" s="1825" customFormat="1" ht="12" customHeight="1" x14ac:dyDescent="0.25"/>
    <row r="281" s="1825" customFormat="1" ht="12" customHeight="1" x14ac:dyDescent="0.25"/>
    <row r="282" s="1825" customFormat="1" ht="12" customHeight="1" x14ac:dyDescent="0.25"/>
    <row r="283" s="1825" customFormat="1" ht="12" customHeight="1" x14ac:dyDescent="0.25"/>
    <row r="284" s="1825" customFormat="1" ht="12" customHeight="1" x14ac:dyDescent="0.25"/>
    <row r="285" s="1825" customFormat="1" ht="12" customHeight="1" x14ac:dyDescent="0.25"/>
    <row r="286" s="1825" customFormat="1" ht="12" customHeight="1" x14ac:dyDescent="0.25"/>
    <row r="287" s="1825" customFormat="1" ht="12" customHeight="1" x14ac:dyDescent="0.25"/>
    <row r="288" s="1825" customFormat="1" ht="12" customHeight="1" x14ac:dyDescent="0.25"/>
    <row r="289" s="1825" customFormat="1" ht="12" customHeight="1" x14ac:dyDescent="0.25"/>
    <row r="290" s="1825" customFormat="1" ht="12" customHeight="1" x14ac:dyDescent="0.25"/>
    <row r="291" s="1825" customFormat="1" ht="12" customHeight="1" x14ac:dyDescent="0.25"/>
    <row r="292" s="1825" customFormat="1" ht="12" customHeight="1" x14ac:dyDescent="0.25"/>
    <row r="293" s="1825" customFormat="1" ht="12" customHeight="1" x14ac:dyDescent="0.25"/>
    <row r="294" s="1825" customFormat="1" ht="12" customHeight="1" x14ac:dyDescent="0.25"/>
    <row r="295" s="1825" customFormat="1" ht="12" customHeight="1" x14ac:dyDescent="0.25"/>
    <row r="296" s="1825" customFormat="1" ht="12" customHeight="1" x14ac:dyDescent="0.25"/>
    <row r="297" s="1825" customFormat="1" ht="12" customHeight="1" x14ac:dyDescent="0.25"/>
    <row r="298" s="1825" customFormat="1" ht="12" customHeight="1" x14ac:dyDescent="0.25"/>
    <row r="299" s="1825" customFormat="1" ht="12" customHeight="1" x14ac:dyDescent="0.25"/>
    <row r="300" s="1825" customFormat="1" ht="12" customHeight="1" x14ac:dyDescent="0.25"/>
    <row r="301" s="1825" customFormat="1" ht="12" customHeight="1" x14ac:dyDescent="0.25"/>
    <row r="302" s="1825" customFormat="1" ht="12" customHeight="1" x14ac:dyDescent="0.25"/>
    <row r="303" s="1825" customFormat="1" ht="12" customHeight="1" x14ac:dyDescent="0.25"/>
    <row r="304" s="1825" customFormat="1" ht="12" customHeight="1" x14ac:dyDescent="0.25"/>
    <row r="305" s="1825" customFormat="1" ht="12" customHeight="1" x14ac:dyDescent="0.25"/>
    <row r="306" s="1825" customFormat="1" ht="12" customHeight="1" x14ac:dyDescent="0.25"/>
    <row r="307" s="1825" customFormat="1" ht="12" customHeight="1" x14ac:dyDescent="0.25"/>
    <row r="308" s="1825" customFormat="1" ht="12" customHeight="1" x14ac:dyDescent="0.25"/>
    <row r="309" s="1825" customFormat="1" ht="12" customHeight="1" x14ac:dyDescent="0.25"/>
    <row r="310" s="1825" customFormat="1" ht="12" customHeight="1" x14ac:dyDescent="0.25"/>
    <row r="311" s="1825" customFormat="1" ht="12" customHeight="1" x14ac:dyDescent="0.25"/>
    <row r="312" s="1825" customFormat="1" ht="12" customHeight="1" x14ac:dyDescent="0.25"/>
    <row r="313" s="1825" customFormat="1" ht="12" customHeight="1" x14ac:dyDescent="0.25"/>
    <row r="314" s="1825" customFormat="1" ht="12" customHeight="1" x14ac:dyDescent="0.25"/>
    <row r="315" s="1825" customFormat="1" ht="12" customHeight="1" x14ac:dyDescent="0.25"/>
    <row r="316" s="1825" customFormat="1" ht="12" customHeight="1" x14ac:dyDescent="0.25"/>
    <row r="317" s="1825" customFormat="1" ht="12" customHeight="1" x14ac:dyDescent="0.25"/>
    <row r="318" s="1825" customFormat="1" ht="12" customHeight="1" x14ac:dyDescent="0.25"/>
    <row r="319" s="1825" customFormat="1" ht="12" customHeight="1" x14ac:dyDescent="0.25"/>
    <row r="320" s="1825" customFormat="1" ht="12" customHeight="1" x14ac:dyDescent="0.25"/>
    <row r="321" s="1825" customFormat="1" ht="12" customHeight="1" x14ac:dyDescent="0.25"/>
    <row r="322" s="1825" customFormat="1" ht="12" customHeight="1" x14ac:dyDescent="0.25"/>
    <row r="323" s="1825" customFormat="1" ht="12" customHeight="1" x14ac:dyDescent="0.25"/>
    <row r="324" s="1825" customFormat="1" ht="12" customHeight="1" x14ac:dyDescent="0.25"/>
    <row r="325" s="1825" customFormat="1" ht="12" customHeight="1" x14ac:dyDescent="0.25"/>
    <row r="326" s="1825" customFormat="1" ht="12" customHeight="1" x14ac:dyDescent="0.25"/>
    <row r="327" s="1825" customFormat="1" ht="12" customHeight="1" x14ac:dyDescent="0.25"/>
    <row r="328" s="1825" customFormat="1" ht="12" customHeight="1" x14ac:dyDescent="0.25"/>
    <row r="329" s="1825" customFormat="1" ht="12" customHeight="1" x14ac:dyDescent="0.25"/>
    <row r="330" s="1825" customFormat="1" ht="12" customHeight="1" x14ac:dyDescent="0.25"/>
    <row r="331" s="1825" customFormat="1" ht="12" customHeight="1" x14ac:dyDescent="0.25"/>
    <row r="332" s="1825" customFormat="1" ht="12" customHeight="1" x14ac:dyDescent="0.25"/>
    <row r="333" s="1825" customFormat="1" ht="12" customHeight="1" x14ac:dyDescent="0.25"/>
    <row r="334" s="1825" customFormat="1" ht="12" customHeight="1" x14ac:dyDescent="0.25"/>
    <row r="335" s="1825" customFormat="1" ht="12" customHeight="1" x14ac:dyDescent="0.25"/>
    <row r="336" s="1825" customFormat="1" ht="12" customHeight="1" x14ac:dyDescent="0.25"/>
    <row r="337" s="1825" customFormat="1" ht="12" customHeight="1" x14ac:dyDescent="0.25"/>
    <row r="338" s="1825" customFormat="1" ht="12" customHeight="1" x14ac:dyDescent="0.25"/>
    <row r="339" s="1825" customFormat="1" ht="12" customHeight="1" x14ac:dyDescent="0.25"/>
    <row r="340" s="1825" customFormat="1" ht="12" customHeight="1" x14ac:dyDescent="0.25"/>
    <row r="341" s="1825" customFormat="1" ht="12" customHeight="1" x14ac:dyDescent="0.25"/>
    <row r="342" s="1825" customFormat="1" ht="12" customHeight="1" x14ac:dyDescent="0.25"/>
    <row r="343" s="1825" customFormat="1" ht="12" customHeight="1" x14ac:dyDescent="0.25"/>
    <row r="344" s="1825" customFormat="1" ht="12" customHeight="1" x14ac:dyDescent="0.25"/>
    <row r="345" s="1825" customFormat="1" ht="12" customHeight="1" x14ac:dyDescent="0.25"/>
    <row r="346" s="1825" customFormat="1" ht="12" customHeight="1" x14ac:dyDescent="0.25"/>
    <row r="347" s="1825" customFormat="1" ht="12" customHeight="1" x14ac:dyDescent="0.25"/>
    <row r="348" s="1825" customFormat="1" ht="12" customHeight="1" x14ac:dyDescent="0.25"/>
    <row r="349" s="1825" customFormat="1" ht="12" customHeight="1" x14ac:dyDescent="0.25"/>
    <row r="350" s="1825" customFormat="1" ht="12" customHeight="1" x14ac:dyDescent="0.25"/>
    <row r="351" s="1825" customFormat="1" ht="12" customHeight="1" x14ac:dyDescent="0.25"/>
    <row r="352" s="1825" customFormat="1" ht="12" customHeight="1" x14ac:dyDescent="0.25"/>
    <row r="353" s="1825" customFormat="1" ht="12" customHeight="1" x14ac:dyDescent="0.25"/>
    <row r="354" s="1825" customFormat="1" ht="12" customHeight="1" x14ac:dyDescent="0.25"/>
    <row r="355" s="1825" customFormat="1" ht="12" customHeight="1" x14ac:dyDescent="0.25"/>
    <row r="356" s="1825" customFormat="1" ht="12" customHeight="1" x14ac:dyDescent="0.25"/>
    <row r="357" s="1825" customFormat="1" ht="12" customHeight="1" x14ac:dyDescent="0.25"/>
    <row r="358" s="1825" customFormat="1" ht="12" customHeight="1" x14ac:dyDescent="0.25"/>
    <row r="359" s="1825" customFormat="1" ht="12" customHeight="1" x14ac:dyDescent="0.25"/>
    <row r="360" s="1825" customFormat="1" ht="12" customHeight="1" x14ac:dyDescent="0.25"/>
    <row r="361" s="1825" customFormat="1" ht="12" customHeight="1" x14ac:dyDescent="0.25"/>
    <row r="362" s="1825" customFormat="1" ht="12" customHeight="1" x14ac:dyDescent="0.25"/>
    <row r="363" s="1825" customFormat="1" ht="12" customHeight="1" x14ac:dyDescent="0.25"/>
    <row r="364" s="1825" customFormat="1" ht="12" customHeight="1" x14ac:dyDescent="0.25"/>
    <row r="365" s="1825" customFormat="1" ht="12" customHeight="1" x14ac:dyDescent="0.25"/>
    <row r="366" s="1825" customFormat="1" ht="12" customHeight="1" x14ac:dyDescent="0.25"/>
    <row r="367" s="1825" customFormat="1" ht="12" customHeight="1" x14ac:dyDescent="0.25"/>
    <row r="368" s="1825" customFormat="1" ht="12" customHeight="1" x14ac:dyDescent="0.25"/>
    <row r="369" s="1825" customFormat="1" ht="12" customHeight="1" x14ac:dyDescent="0.25"/>
    <row r="370" s="1825" customFormat="1" ht="12" customHeight="1" x14ac:dyDescent="0.25"/>
    <row r="371" s="1825" customFormat="1" ht="12" customHeight="1" x14ac:dyDescent="0.25"/>
    <row r="372" s="1825" customFormat="1" ht="12" customHeight="1" x14ac:dyDescent="0.25"/>
    <row r="373" s="1825" customFormat="1" ht="12" customHeight="1" x14ac:dyDescent="0.25"/>
    <row r="374" s="1825" customFormat="1" ht="12" customHeight="1" x14ac:dyDescent="0.25"/>
    <row r="375" s="1825" customFormat="1" ht="12" customHeight="1" x14ac:dyDescent="0.25"/>
    <row r="376" s="1825" customFormat="1" ht="12" customHeight="1" x14ac:dyDescent="0.25"/>
    <row r="377" s="1825" customFormat="1" ht="12" customHeight="1" x14ac:dyDescent="0.25"/>
    <row r="378" s="1825" customFormat="1" ht="12" customHeight="1" x14ac:dyDescent="0.25"/>
    <row r="379" s="1825" customFormat="1" ht="12" customHeight="1" x14ac:dyDescent="0.25"/>
    <row r="380" s="1825" customFormat="1" ht="12" customHeight="1" x14ac:dyDescent="0.25"/>
    <row r="381" s="1825" customFormat="1" ht="12" customHeight="1" x14ac:dyDescent="0.25"/>
    <row r="382" s="1825" customFormat="1" ht="12" customHeight="1" x14ac:dyDescent="0.25"/>
    <row r="383" s="1825" customFormat="1" ht="12" customHeight="1" x14ac:dyDescent="0.25"/>
    <row r="384" s="1825" customFormat="1" ht="12" customHeight="1" x14ac:dyDescent="0.25"/>
    <row r="385" s="1825" customFormat="1" ht="12" customHeight="1" x14ac:dyDescent="0.25"/>
    <row r="386" s="1825" customFormat="1" ht="12" customHeight="1" x14ac:dyDescent="0.25"/>
    <row r="387" s="1825" customFormat="1" ht="12" customHeight="1" x14ac:dyDescent="0.25"/>
    <row r="388" s="1825" customFormat="1" ht="12" customHeight="1" x14ac:dyDescent="0.25"/>
    <row r="389" s="1825" customFormat="1" ht="12" customHeight="1" x14ac:dyDescent="0.25"/>
    <row r="390" s="1825" customFormat="1" ht="12" customHeight="1" x14ac:dyDescent="0.25"/>
    <row r="391" s="1825" customFormat="1" ht="12" customHeight="1" x14ac:dyDescent="0.25"/>
    <row r="392" s="1825" customFormat="1" ht="12" customHeight="1" x14ac:dyDescent="0.25"/>
    <row r="393" s="1825" customFormat="1" ht="12" customHeight="1" x14ac:dyDescent="0.25"/>
    <row r="394" s="1825" customFormat="1" ht="12" customHeight="1" x14ac:dyDescent="0.25"/>
    <row r="395" s="1825" customFormat="1" ht="12" customHeight="1" x14ac:dyDescent="0.25"/>
    <row r="396" s="1825" customFormat="1" ht="12" customHeight="1" x14ac:dyDescent="0.25"/>
    <row r="397" s="1825" customFormat="1" ht="12" customHeight="1" x14ac:dyDescent="0.25"/>
    <row r="398" s="1825" customFormat="1" ht="12" customHeight="1" x14ac:dyDescent="0.25"/>
    <row r="399" s="1825" customFormat="1" ht="12" customHeight="1" x14ac:dyDescent="0.25"/>
    <row r="400" s="1825" customFormat="1" ht="12" customHeight="1" x14ac:dyDescent="0.25"/>
    <row r="401" s="1825" customFormat="1" ht="12" customHeight="1" x14ac:dyDescent="0.25"/>
    <row r="402" s="1825" customFormat="1" ht="12" customHeight="1" x14ac:dyDescent="0.25"/>
    <row r="403" s="1825" customFormat="1" ht="12" customHeight="1" x14ac:dyDescent="0.25"/>
    <row r="404" s="1825" customFormat="1" ht="12" customHeight="1" x14ac:dyDescent="0.25"/>
    <row r="405" s="1825" customFormat="1" ht="12" customHeight="1" x14ac:dyDescent="0.25"/>
    <row r="406" s="1825" customFormat="1" ht="12" customHeight="1" x14ac:dyDescent="0.25"/>
    <row r="407" s="1825" customFormat="1" ht="12" customHeight="1" x14ac:dyDescent="0.25"/>
    <row r="408" s="1825" customFormat="1" ht="12" customHeight="1" x14ac:dyDescent="0.25"/>
    <row r="409" s="1825" customFormat="1" ht="12" customHeight="1" x14ac:dyDescent="0.25"/>
    <row r="410" s="1825" customFormat="1" ht="12" customHeight="1" x14ac:dyDescent="0.25"/>
    <row r="411" s="1825" customFormat="1" ht="12" customHeight="1" x14ac:dyDescent="0.25"/>
    <row r="412" s="1825" customFormat="1" ht="12" customHeight="1" x14ac:dyDescent="0.25"/>
    <row r="413" s="1825" customFormat="1" ht="12" customHeight="1" x14ac:dyDescent="0.25"/>
    <row r="414" s="1825" customFormat="1" ht="12" customHeight="1" x14ac:dyDescent="0.25"/>
    <row r="415" s="1825" customFormat="1" ht="12" customHeight="1" x14ac:dyDescent="0.25"/>
    <row r="416" s="1825" customFormat="1" ht="12" customHeight="1" x14ac:dyDescent="0.25"/>
    <row r="417" s="1825" customFormat="1" ht="12" customHeight="1" x14ac:dyDescent="0.25"/>
    <row r="418" s="1825" customFormat="1" ht="12" customHeight="1" x14ac:dyDescent="0.25"/>
    <row r="419" s="1825" customFormat="1" ht="12" customHeight="1" x14ac:dyDescent="0.25"/>
    <row r="420" s="1825" customFormat="1" ht="12" customHeight="1" x14ac:dyDescent="0.25"/>
    <row r="421" s="1825" customFormat="1" ht="12" customHeight="1" x14ac:dyDescent="0.25"/>
    <row r="422" s="1825" customFormat="1" ht="12" customHeight="1" x14ac:dyDescent="0.25"/>
    <row r="423" s="1825" customFormat="1" ht="12" customHeight="1" x14ac:dyDescent="0.25"/>
    <row r="424" s="1825" customFormat="1" ht="12" customHeight="1" x14ac:dyDescent="0.25"/>
    <row r="425" s="1825" customFormat="1" ht="12" customHeight="1" x14ac:dyDescent="0.25"/>
    <row r="426" s="1825" customFormat="1" ht="12" customHeight="1" x14ac:dyDescent="0.25"/>
    <row r="427" s="1825" customFormat="1" ht="12" customHeight="1" x14ac:dyDescent="0.25"/>
    <row r="428" s="1825" customFormat="1" ht="12" customHeight="1" x14ac:dyDescent="0.25"/>
    <row r="429" s="1825" customFormat="1" ht="12" customHeight="1" x14ac:dyDescent="0.25"/>
    <row r="430" s="1825" customFormat="1" ht="12" customHeight="1" x14ac:dyDescent="0.25"/>
    <row r="431" s="1825" customFormat="1" ht="12" customHeight="1" x14ac:dyDescent="0.25"/>
    <row r="432" s="1825" customFormat="1" ht="12" customHeight="1" x14ac:dyDescent="0.25"/>
    <row r="433" s="1825" customFormat="1" ht="12" customHeight="1" x14ac:dyDescent="0.25"/>
    <row r="434" s="1825" customFormat="1" ht="12" customHeight="1" x14ac:dyDescent="0.25"/>
    <row r="435" s="1825" customFormat="1" ht="12" customHeight="1" x14ac:dyDescent="0.25"/>
    <row r="436" s="1825" customFormat="1" ht="12" customHeight="1" x14ac:dyDescent="0.25"/>
    <row r="437" s="1825" customFormat="1" ht="12" customHeight="1" x14ac:dyDescent="0.25"/>
    <row r="438" s="1825" customFormat="1" ht="12" customHeight="1" x14ac:dyDescent="0.25"/>
    <row r="439" s="1825" customFormat="1" ht="12" customHeight="1" x14ac:dyDescent="0.25"/>
    <row r="440" s="1825" customFormat="1" ht="12" customHeight="1" x14ac:dyDescent="0.25"/>
    <row r="441" s="1825" customFormat="1" ht="12" customHeight="1" x14ac:dyDescent="0.25"/>
    <row r="442" s="1825" customFormat="1" ht="12" customHeight="1" x14ac:dyDescent="0.25"/>
    <row r="443" s="1825" customFormat="1" ht="12" customHeight="1" x14ac:dyDescent="0.25"/>
    <row r="444" s="1825" customFormat="1" ht="12" customHeight="1" x14ac:dyDescent="0.25"/>
    <row r="445" s="1825" customFormat="1" ht="12" customHeight="1" x14ac:dyDescent="0.25"/>
    <row r="446" s="1825" customFormat="1" ht="12" customHeight="1" x14ac:dyDescent="0.25"/>
    <row r="447" s="1825" customFormat="1" ht="12" customHeight="1" x14ac:dyDescent="0.25"/>
    <row r="448" s="1825" customFormat="1" ht="12" customHeight="1" x14ac:dyDescent="0.25"/>
    <row r="449" s="1825" customFormat="1" ht="12" customHeight="1" x14ac:dyDescent="0.25"/>
    <row r="450" s="1825" customFormat="1" ht="12" customHeight="1" x14ac:dyDescent="0.25"/>
    <row r="451" s="1825" customFormat="1" ht="12" customHeight="1" x14ac:dyDescent="0.25"/>
    <row r="452" s="1825" customFormat="1" ht="12" customHeight="1" x14ac:dyDescent="0.25"/>
    <row r="453" s="1825" customFormat="1" ht="12" customHeight="1" x14ac:dyDescent="0.25"/>
    <row r="454" s="1825" customFormat="1" ht="12" customHeight="1" x14ac:dyDescent="0.25"/>
    <row r="455" s="1825" customFormat="1" ht="12" customHeight="1" x14ac:dyDescent="0.25"/>
    <row r="456" s="1825" customFormat="1" ht="12" customHeight="1" x14ac:dyDescent="0.25"/>
    <row r="457" s="1825" customFormat="1" ht="12" customHeight="1" x14ac:dyDescent="0.25"/>
    <row r="458" s="1825" customFormat="1" ht="12" customHeight="1" x14ac:dyDescent="0.25"/>
    <row r="459" s="1825" customFormat="1" ht="12" customHeight="1" x14ac:dyDescent="0.25"/>
    <row r="460" s="1825" customFormat="1" ht="12" customHeight="1" x14ac:dyDescent="0.25"/>
    <row r="461" s="1825" customFormat="1" ht="12" customHeight="1" x14ac:dyDescent="0.25"/>
    <row r="462" s="1825" customFormat="1" ht="12" customHeight="1" x14ac:dyDescent="0.25"/>
    <row r="463" s="1825" customFormat="1" ht="12" customHeight="1" x14ac:dyDescent="0.25"/>
    <row r="464" s="1825" customFormat="1" ht="12" customHeight="1" x14ac:dyDescent="0.25"/>
    <row r="465" s="1825" customFormat="1" ht="12" customHeight="1" x14ac:dyDescent="0.25"/>
    <row r="466" s="1825" customFormat="1" ht="12" customHeight="1" x14ac:dyDescent="0.25"/>
    <row r="467" s="1825" customFormat="1" ht="12" customHeight="1" x14ac:dyDescent="0.25"/>
    <row r="468" s="1825" customFormat="1" ht="12" customHeight="1" x14ac:dyDescent="0.25"/>
    <row r="469" s="1825" customFormat="1" ht="12" customHeight="1" x14ac:dyDescent="0.25"/>
    <row r="470" s="1825" customFormat="1" ht="12" customHeight="1" x14ac:dyDescent="0.25"/>
    <row r="471" s="1825" customFormat="1" ht="12" customHeight="1" x14ac:dyDescent="0.25"/>
    <row r="472" s="1825" customFormat="1" ht="12" customHeight="1" x14ac:dyDescent="0.25"/>
    <row r="473" s="1825" customFormat="1" ht="12" customHeight="1" x14ac:dyDescent="0.25"/>
    <row r="474" s="1825" customFormat="1" ht="12" customHeight="1" x14ac:dyDescent="0.25"/>
    <row r="475" s="1825" customFormat="1" ht="12" customHeight="1" x14ac:dyDescent="0.25"/>
    <row r="476" s="1825" customFormat="1" ht="12" customHeight="1" x14ac:dyDescent="0.25"/>
    <row r="477" s="1825" customFormat="1" ht="12" customHeight="1" x14ac:dyDescent="0.25"/>
    <row r="478" s="1825" customFormat="1" ht="12" customHeight="1" x14ac:dyDescent="0.25"/>
    <row r="479" s="1825" customFormat="1" ht="12" customHeight="1" x14ac:dyDescent="0.25"/>
    <row r="480" s="1825" customFormat="1" ht="12" customHeight="1" x14ac:dyDescent="0.25"/>
    <row r="481" s="1825" customFormat="1" ht="12" customHeight="1" x14ac:dyDescent="0.25"/>
    <row r="482" s="1825" customFormat="1" ht="12" customHeight="1" x14ac:dyDescent="0.25"/>
    <row r="483" s="1825" customFormat="1" ht="12" customHeight="1" x14ac:dyDescent="0.25"/>
    <row r="484" s="1825" customFormat="1" ht="12" customHeight="1" x14ac:dyDescent="0.25"/>
    <row r="485" s="1825" customFormat="1" ht="12" customHeight="1" x14ac:dyDescent="0.25"/>
    <row r="486" s="1825" customFormat="1" ht="12" customHeight="1" x14ac:dyDescent="0.25"/>
    <row r="487" s="1825" customFormat="1" ht="12" customHeight="1" x14ac:dyDescent="0.25"/>
    <row r="488" s="1825" customFormat="1" ht="12" customHeight="1" x14ac:dyDescent="0.25"/>
    <row r="489" s="1825" customFormat="1" ht="12" customHeight="1" x14ac:dyDescent="0.25"/>
    <row r="490" s="1825" customFormat="1" ht="12" customHeight="1" x14ac:dyDescent="0.25"/>
    <row r="491" s="1825" customFormat="1" ht="12" customHeight="1" x14ac:dyDescent="0.25"/>
    <row r="492" s="1825" customFormat="1" ht="12" customHeight="1" x14ac:dyDescent="0.25"/>
    <row r="493" s="1825" customFormat="1" ht="12" customHeight="1" x14ac:dyDescent="0.25"/>
    <row r="494" s="1825" customFormat="1" ht="12" customHeight="1" x14ac:dyDescent="0.25"/>
    <row r="495" s="1825" customFormat="1" ht="12" customHeight="1" x14ac:dyDescent="0.25"/>
    <row r="496" s="1825" customFormat="1" ht="12" customHeight="1" x14ac:dyDescent="0.25"/>
    <row r="497" s="1825" customFormat="1" ht="12" customHeight="1" x14ac:dyDescent="0.25"/>
    <row r="498" s="1825" customFormat="1" ht="12" customHeight="1" x14ac:dyDescent="0.25"/>
    <row r="499" s="1825" customFormat="1" ht="12" customHeight="1" x14ac:dyDescent="0.25"/>
    <row r="500" s="1825" customFormat="1" ht="12" customHeight="1" x14ac:dyDescent="0.25"/>
    <row r="501" s="1825" customFormat="1" ht="12" customHeight="1" x14ac:dyDescent="0.25"/>
    <row r="502" s="1825" customFormat="1" ht="12" customHeight="1" x14ac:dyDescent="0.25"/>
    <row r="503" s="1825" customFormat="1" ht="12" customHeight="1" x14ac:dyDescent="0.25"/>
    <row r="504" s="1825" customFormat="1" ht="12" customHeight="1" x14ac:dyDescent="0.25"/>
    <row r="505" s="1825" customFormat="1" ht="12" customHeight="1" x14ac:dyDescent="0.25"/>
    <row r="506" s="1825" customFormat="1" ht="12" customHeight="1" x14ac:dyDescent="0.25"/>
    <row r="507" s="1825" customFormat="1" ht="12" customHeight="1" x14ac:dyDescent="0.25"/>
    <row r="508" s="1825" customFormat="1" ht="12" customHeight="1" x14ac:dyDescent="0.25"/>
    <row r="509" s="1825" customFormat="1" ht="12" customHeight="1" x14ac:dyDescent="0.25"/>
    <row r="510" s="1825" customFormat="1" ht="12" customHeight="1" x14ac:dyDescent="0.25"/>
    <row r="511" s="1825" customFormat="1" ht="12" customHeight="1" x14ac:dyDescent="0.25"/>
    <row r="512" s="1825" customFormat="1" ht="12" customHeight="1" x14ac:dyDescent="0.25"/>
    <row r="513" s="1825" customFormat="1" ht="12" customHeight="1" x14ac:dyDescent="0.25"/>
    <row r="514" s="1825" customFormat="1" ht="12" customHeight="1" x14ac:dyDescent="0.25"/>
    <row r="515" s="1825" customFormat="1" ht="12" customHeight="1" x14ac:dyDescent="0.25"/>
    <row r="516" s="1825" customFormat="1" ht="12" customHeight="1" x14ac:dyDescent="0.25"/>
    <row r="517" s="1825" customFormat="1" ht="12" customHeight="1" x14ac:dyDescent="0.25"/>
    <row r="518" s="1825" customFormat="1" ht="12" customHeight="1" x14ac:dyDescent="0.25"/>
    <row r="519" s="1825" customFormat="1" ht="12" customHeight="1" x14ac:dyDescent="0.25"/>
    <row r="520" s="1825" customFormat="1" ht="12" customHeight="1" x14ac:dyDescent="0.25"/>
    <row r="521" s="1825" customFormat="1" ht="12" customHeight="1" x14ac:dyDescent="0.25"/>
    <row r="522" s="1825" customFormat="1" ht="12" customHeight="1" x14ac:dyDescent="0.25"/>
    <row r="523" s="1825" customFormat="1" ht="12" customHeight="1" x14ac:dyDescent="0.25"/>
    <row r="524" s="1825" customFormat="1" ht="12" customHeight="1" x14ac:dyDescent="0.25"/>
    <row r="525" s="1825" customFormat="1" ht="12" customHeight="1" x14ac:dyDescent="0.25"/>
    <row r="526" s="1825" customFormat="1" ht="12" customHeight="1" x14ac:dyDescent="0.25"/>
    <row r="527" s="1825" customFormat="1" ht="12" customHeight="1" x14ac:dyDescent="0.25"/>
    <row r="528" s="1825" customFormat="1" ht="12" customHeight="1" x14ac:dyDescent="0.25"/>
    <row r="529" s="1825" customFormat="1" ht="12" customHeight="1" x14ac:dyDescent="0.25"/>
    <row r="530" s="1825" customFormat="1" ht="12" customHeight="1" x14ac:dyDescent="0.25"/>
    <row r="531" s="1825" customFormat="1" ht="12" customHeight="1" x14ac:dyDescent="0.25"/>
    <row r="532" s="1825" customFormat="1" ht="12" customHeight="1" x14ac:dyDescent="0.25"/>
    <row r="533" s="1825" customFormat="1" ht="12" customHeight="1" x14ac:dyDescent="0.25"/>
    <row r="534" s="1825" customFormat="1" ht="12" customHeight="1" x14ac:dyDescent="0.25"/>
    <row r="535" s="1825" customFormat="1" ht="12" customHeight="1" x14ac:dyDescent="0.25"/>
    <row r="536" s="1825" customFormat="1" ht="12" customHeight="1" x14ac:dyDescent="0.25"/>
    <row r="537" s="1825" customFormat="1" ht="12" customHeight="1" x14ac:dyDescent="0.25"/>
    <row r="538" s="1825" customFormat="1" ht="12" customHeight="1" x14ac:dyDescent="0.25"/>
    <row r="539" s="1825" customFormat="1" ht="12" customHeight="1" x14ac:dyDescent="0.25"/>
    <row r="540" s="1825" customFormat="1" ht="12" customHeight="1" x14ac:dyDescent="0.25"/>
    <row r="541" s="1825" customFormat="1" ht="12" customHeight="1" x14ac:dyDescent="0.25"/>
    <row r="542" s="1825" customFormat="1" ht="12" customHeight="1" x14ac:dyDescent="0.25"/>
    <row r="543" s="1825" customFormat="1" ht="12" customHeight="1" x14ac:dyDescent="0.25"/>
    <row r="544" s="1825" customFormat="1" ht="12" customHeight="1" x14ac:dyDescent="0.25"/>
    <row r="545" s="1825" customFormat="1" ht="12" customHeight="1" x14ac:dyDescent="0.25"/>
    <row r="546" s="1825" customFormat="1" ht="12" customHeight="1" x14ac:dyDescent="0.25"/>
    <row r="547" s="1825" customFormat="1" ht="12" customHeight="1" x14ac:dyDescent="0.25"/>
    <row r="548" s="1825" customFormat="1" ht="12" customHeight="1" x14ac:dyDescent="0.25"/>
    <row r="549" s="1825" customFormat="1" ht="12" customHeight="1" x14ac:dyDescent="0.25"/>
    <row r="550" s="1825" customFormat="1" ht="12" customHeight="1" x14ac:dyDescent="0.25"/>
    <row r="551" s="1825" customFormat="1" ht="12" customHeight="1" x14ac:dyDescent="0.25"/>
    <row r="552" s="1825" customFormat="1" ht="12" customHeight="1" x14ac:dyDescent="0.25"/>
    <row r="553" s="1825" customFormat="1" ht="12" customHeight="1" x14ac:dyDescent="0.25"/>
    <row r="554" s="1825" customFormat="1" ht="12" customHeight="1" x14ac:dyDescent="0.25"/>
    <row r="555" s="1825" customFormat="1" ht="12" customHeight="1" x14ac:dyDescent="0.25"/>
    <row r="556" s="1825" customFormat="1" ht="12" customHeight="1" x14ac:dyDescent="0.25"/>
    <row r="557" s="1825" customFormat="1" ht="12" customHeight="1" x14ac:dyDescent="0.25"/>
    <row r="558" s="1825" customFormat="1" ht="12" customHeight="1" x14ac:dyDescent="0.25"/>
    <row r="559" s="1825" customFormat="1" ht="12" customHeight="1" x14ac:dyDescent="0.25"/>
    <row r="560" s="1825" customFormat="1" ht="12" customHeight="1" x14ac:dyDescent="0.25"/>
    <row r="561" s="1825" customFormat="1" ht="12" customHeight="1" x14ac:dyDescent="0.25"/>
    <row r="562" s="1825" customFormat="1" ht="12" customHeight="1" x14ac:dyDescent="0.25"/>
    <row r="563" s="1825" customFormat="1" ht="12" customHeight="1" x14ac:dyDescent="0.25"/>
    <row r="564" s="1825" customFormat="1" ht="12" customHeight="1" x14ac:dyDescent="0.25"/>
    <row r="565" s="1825" customFormat="1" ht="12" customHeight="1" x14ac:dyDescent="0.25"/>
    <row r="566" s="1825" customFormat="1" ht="12" customHeight="1" x14ac:dyDescent="0.25"/>
    <row r="567" s="1825" customFormat="1" ht="12" customHeight="1" x14ac:dyDescent="0.25"/>
    <row r="568" s="1825" customFormat="1" ht="12" customHeight="1" x14ac:dyDescent="0.25"/>
    <row r="569" s="1825" customFormat="1" ht="12" customHeight="1" x14ac:dyDescent="0.25"/>
    <row r="570" s="1825" customFormat="1" ht="12" customHeight="1" x14ac:dyDescent="0.25"/>
    <row r="571" s="1825" customFormat="1" ht="12" customHeight="1" x14ac:dyDescent="0.25"/>
    <row r="572" s="1825" customFormat="1" ht="12" customHeight="1" x14ac:dyDescent="0.25"/>
    <row r="573" s="1825" customFormat="1" ht="12" customHeight="1" x14ac:dyDescent="0.25"/>
    <row r="574" s="1825" customFormat="1" ht="12" customHeight="1" x14ac:dyDescent="0.25"/>
    <row r="575" s="1825" customFormat="1" ht="12" customHeight="1" x14ac:dyDescent="0.25"/>
    <row r="576" s="1825" customFormat="1" ht="12" customHeight="1" x14ac:dyDescent="0.25"/>
    <row r="577" s="1825" customFormat="1" ht="12" customHeight="1" x14ac:dyDescent="0.25"/>
    <row r="578" s="1825" customFormat="1" ht="12" customHeight="1" x14ac:dyDescent="0.25"/>
    <row r="579" s="1825" customFormat="1" ht="12" customHeight="1" x14ac:dyDescent="0.25"/>
    <row r="580" s="1825" customFormat="1" ht="12" customHeight="1" x14ac:dyDescent="0.25"/>
    <row r="581" s="1825" customFormat="1" ht="12" customHeight="1" x14ac:dyDescent="0.25"/>
    <row r="582" s="1825" customFormat="1" ht="12" customHeight="1" x14ac:dyDescent="0.25"/>
    <row r="583" s="1825" customFormat="1" ht="12" customHeight="1" x14ac:dyDescent="0.25"/>
    <row r="584" s="1825" customFormat="1" ht="12" customHeight="1" x14ac:dyDescent="0.25"/>
    <row r="585" s="1825" customFormat="1" ht="12" customHeight="1" x14ac:dyDescent="0.25"/>
    <row r="586" s="1825" customFormat="1" ht="12" customHeight="1" x14ac:dyDescent="0.25"/>
    <row r="587" s="1825" customFormat="1" ht="12" customHeight="1" x14ac:dyDescent="0.25"/>
    <row r="588" s="1825" customFormat="1" ht="12" customHeight="1" x14ac:dyDescent="0.25"/>
    <row r="589" s="1825" customFormat="1" ht="12" customHeight="1" x14ac:dyDescent="0.25"/>
    <row r="590" s="1825" customFormat="1" ht="12" customHeight="1" x14ac:dyDescent="0.25"/>
    <row r="591" s="1825" customFormat="1" ht="12" customHeight="1" x14ac:dyDescent="0.25"/>
    <row r="592" s="1825" customFormat="1" ht="12" customHeight="1" x14ac:dyDescent="0.25"/>
    <row r="593" s="1825" customFormat="1" ht="12" customHeight="1" x14ac:dyDescent="0.25"/>
    <row r="594" s="1825" customFormat="1" ht="12" customHeight="1" x14ac:dyDescent="0.25"/>
    <row r="595" s="1825" customFormat="1" ht="12" customHeight="1" x14ac:dyDescent="0.25"/>
    <row r="596" s="1825" customFormat="1" ht="12" customHeight="1" x14ac:dyDescent="0.25"/>
    <row r="597" s="1825" customFormat="1" ht="12" customHeight="1" x14ac:dyDescent="0.25"/>
    <row r="598" s="1825" customFormat="1" ht="12" customHeight="1" x14ac:dyDescent="0.25"/>
    <row r="599" s="1825" customFormat="1" ht="12" customHeight="1" x14ac:dyDescent="0.25"/>
    <row r="600" s="1825" customFormat="1" ht="12" customHeight="1" x14ac:dyDescent="0.25"/>
    <row r="601" s="1825" customFormat="1" ht="12" customHeight="1" x14ac:dyDescent="0.25"/>
    <row r="602" s="1825" customFormat="1" ht="12" customHeight="1" x14ac:dyDescent="0.25"/>
    <row r="603" s="1825" customFormat="1" ht="12" customHeight="1" x14ac:dyDescent="0.25"/>
    <row r="604" s="1825" customFormat="1" ht="12" customHeight="1" x14ac:dyDescent="0.25"/>
    <row r="605" s="1825" customFormat="1" ht="12" customHeight="1" x14ac:dyDescent="0.25"/>
    <row r="606" s="1825" customFormat="1" ht="12" customHeight="1" x14ac:dyDescent="0.25"/>
    <row r="607" s="1825" customFormat="1" ht="12" customHeight="1" x14ac:dyDescent="0.25"/>
    <row r="608" s="1825" customFormat="1" ht="12" customHeight="1" x14ac:dyDescent="0.25"/>
    <row r="609" s="1825" customFormat="1" ht="12" customHeight="1" x14ac:dyDescent="0.25"/>
    <row r="610" s="1825" customFormat="1" ht="12" customHeight="1" x14ac:dyDescent="0.25"/>
    <row r="611" s="1825" customFormat="1" ht="12" customHeight="1" x14ac:dyDescent="0.25"/>
    <row r="612" s="1825" customFormat="1" ht="12" customHeight="1" x14ac:dyDescent="0.25"/>
    <row r="613" s="1825" customFormat="1" ht="12" customHeight="1" x14ac:dyDescent="0.25"/>
    <row r="614" s="1825" customFormat="1" ht="12" customHeight="1" x14ac:dyDescent="0.25"/>
    <row r="615" s="1825" customFormat="1" ht="12" customHeight="1" x14ac:dyDescent="0.25"/>
    <row r="616" s="1825" customFormat="1" ht="12" customHeight="1" x14ac:dyDescent="0.25"/>
    <row r="617" s="1825" customFormat="1" ht="12" customHeight="1" x14ac:dyDescent="0.25"/>
    <row r="618" s="1825" customFormat="1" ht="12" customHeight="1" x14ac:dyDescent="0.25"/>
    <row r="619" s="1825" customFormat="1" ht="12" customHeight="1" x14ac:dyDescent="0.25"/>
    <row r="620" s="1825" customFormat="1" ht="12" customHeight="1" x14ac:dyDescent="0.25"/>
    <row r="621" s="1825" customFormat="1" ht="12" customHeight="1" x14ac:dyDescent="0.25"/>
    <row r="622" s="1825" customFormat="1" ht="12" customHeight="1" x14ac:dyDescent="0.25"/>
    <row r="623" s="1825" customFormat="1" ht="12" customHeight="1" x14ac:dyDescent="0.25"/>
    <row r="624" s="1825" customFormat="1" ht="12" customHeight="1" x14ac:dyDescent="0.25"/>
    <row r="625" s="1825" customFormat="1" ht="12" customHeight="1" x14ac:dyDescent="0.25"/>
    <row r="626" s="1825" customFormat="1" ht="12" customHeight="1" x14ac:dyDescent="0.25"/>
    <row r="627" s="1825" customFormat="1" ht="12" customHeight="1" x14ac:dyDescent="0.25"/>
    <row r="628" s="1825" customFormat="1" ht="12" customHeight="1" x14ac:dyDescent="0.25"/>
    <row r="629" s="1825" customFormat="1" ht="12" customHeight="1" x14ac:dyDescent="0.25"/>
    <row r="630" s="1825" customFormat="1" ht="12" customHeight="1" x14ac:dyDescent="0.25"/>
    <row r="631" s="1825" customFormat="1" ht="12" customHeight="1" x14ac:dyDescent="0.25"/>
    <row r="632" s="1825" customFormat="1" ht="12" customHeight="1" x14ac:dyDescent="0.25"/>
    <row r="633" s="1825" customFormat="1" ht="12" customHeight="1" x14ac:dyDescent="0.25"/>
    <row r="634" s="1825" customFormat="1" ht="12" customHeight="1" x14ac:dyDescent="0.25"/>
    <row r="635" s="1825" customFormat="1" ht="12" customHeight="1" x14ac:dyDescent="0.25"/>
    <row r="636" s="1825" customFormat="1" ht="12" customHeight="1" x14ac:dyDescent="0.25"/>
    <row r="637" s="1825" customFormat="1" ht="12" customHeight="1" x14ac:dyDescent="0.25"/>
    <row r="638" s="1825" customFormat="1" ht="12" customHeight="1" x14ac:dyDescent="0.25"/>
    <row r="639" s="1825" customFormat="1" ht="12" customHeight="1" x14ac:dyDescent="0.25"/>
    <row r="640" s="1825" customFormat="1" ht="12" customHeight="1" x14ac:dyDescent="0.25"/>
    <row r="641" s="1825" customFormat="1" ht="12" customHeight="1" x14ac:dyDescent="0.25"/>
    <row r="642" s="1825" customFormat="1" ht="12" customHeight="1" x14ac:dyDescent="0.25"/>
    <row r="643" s="1825" customFormat="1" ht="12" customHeight="1" x14ac:dyDescent="0.25"/>
    <row r="644" s="1825" customFormat="1" ht="12" customHeight="1" x14ac:dyDescent="0.25"/>
    <row r="645" s="1825" customFormat="1" ht="12" customHeight="1" x14ac:dyDescent="0.25"/>
    <row r="646" s="1825" customFormat="1" ht="12" customHeight="1" x14ac:dyDescent="0.25"/>
    <row r="647" s="1825" customFormat="1" ht="12" customHeight="1" x14ac:dyDescent="0.25"/>
    <row r="648" s="1825" customFormat="1" ht="12" customHeight="1" x14ac:dyDescent="0.25"/>
    <row r="649" s="1825" customFormat="1" ht="12" customHeight="1" x14ac:dyDescent="0.25"/>
    <row r="650" s="1825" customFormat="1" ht="12" customHeight="1" x14ac:dyDescent="0.25"/>
    <row r="651" s="1825" customFormat="1" ht="12" customHeight="1" x14ac:dyDescent="0.25"/>
    <row r="652" s="1825" customFormat="1" ht="12" customHeight="1" x14ac:dyDescent="0.25"/>
    <row r="653" s="1825" customFormat="1" ht="12" customHeight="1" x14ac:dyDescent="0.25"/>
    <row r="654" s="1825" customFormat="1" ht="12" customHeight="1" x14ac:dyDescent="0.25"/>
    <row r="655" s="1825" customFormat="1" ht="12" customHeight="1" x14ac:dyDescent="0.25"/>
    <row r="656" s="1825" customFormat="1" ht="12" customHeight="1" x14ac:dyDescent="0.25"/>
    <row r="657" s="1825" customFormat="1" ht="12" customHeight="1" x14ac:dyDescent="0.25"/>
    <row r="658" s="1825" customFormat="1" ht="12" customHeight="1" x14ac:dyDescent="0.25"/>
    <row r="659" s="1825" customFormat="1" ht="12" customHeight="1" x14ac:dyDescent="0.25"/>
    <row r="660" s="1825" customFormat="1" ht="12" customHeight="1" x14ac:dyDescent="0.25"/>
    <row r="661" s="1825" customFormat="1" ht="12" customHeight="1" x14ac:dyDescent="0.25"/>
    <row r="662" s="1825" customFormat="1" ht="12" customHeight="1" x14ac:dyDescent="0.25"/>
    <row r="663" s="1825" customFormat="1" ht="12" customHeight="1" x14ac:dyDescent="0.25"/>
    <row r="664" s="1825" customFormat="1" ht="12" customHeight="1" x14ac:dyDescent="0.25"/>
    <row r="665" s="1825" customFormat="1" ht="12" customHeight="1" x14ac:dyDescent="0.25"/>
    <row r="666" s="1825" customFormat="1" ht="12" customHeight="1" x14ac:dyDescent="0.25"/>
    <row r="667" s="1825" customFormat="1" ht="12" customHeight="1" x14ac:dyDescent="0.25"/>
    <row r="668" s="1825" customFormat="1" ht="12" customHeight="1" x14ac:dyDescent="0.25"/>
    <row r="669" s="1825" customFormat="1" ht="12" customHeight="1" x14ac:dyDescent="0.25"/>
    <row r="670" s="1825" customFormat="1" ht="12" customHeight="1" x14ac:dyDescent="0.25"/>
    <row r="671" s="1825" customFormat="1" ht="12" customHeight="1" x14ac:dyDescent="0.25"/>
    <row r="672" s="1825" customFormat="1" ht="12" customHeight="1" x14ac:dyDescent="0.25"/>
    <row r="673" s="1825" customFormat="1" ht="12" customHeight="1" x14ac:dyDescent="0.25"/>
    <row r="674" s="1825" customFormat="1" ht="12" customHeight="1" x14ac:dyDescent="0.25"/>
    <row r="675" s="1825" customFormat="1" ht="12" customHeight="1" x14ac:dyDescent="0.25"/>
    <row r="676" s="1825" customFormat="1" ht="12" customHeight="1" x14ac:dyDescent="0.25"/>
    <row r="677" s="1825" customFormat="1" ht="12" customHeight="1" x14ac:dyDescent="0.25"/>
    <row r="678" s="1825" customFormat="1" ht="12" customHeight="1" x14ac:dyDescent="0.25"/>
    <row r="679" s="1825" customFormat="1" ht="12" customHeight="1" x14ac:dyDescent="0.25"/>
    <row r="680" s="1825" customFormat="1" ht="12" customHeight="1" x14ac:dyDescent="0.25"/>
    <row r="681" s="1825" customFormat="1" ht="12" customHeight="1" x14ac:dyDescent="0.25"/>
    <row r="682" s="1825" customFormat="1" ht="12" customHeight="1" x14ac:dyDescent="0.25"/>
    <row r="683" s="1825" customFormat="1" ht="12" customHeight="1" x14ac:dyDescent="0.25"/>
    <row r="684" s="1825" customFormat="1" ht="12" customHeight="1" x14ac:dyDescent="0.25"/>
    <row r="685" s="1825" customFormat="1" ht="12" customHeight="1" x14ac:dyDescent="0.25"/>
    <row r="686" s="1825" customFormat="1" ht="12" customHeight="1" x14ac:dyDescent="0.25"/>
    <row r="687" s="1825" customFormat="1" ht="12" customHeight="1" x14ac:dyDescent="0.25"/>
    <row r="688" s="1825" customFormat="1" ht="12" customHeight="1" x14ac:dyDescent="0.25"/>
    <row r="689" s="1825" customFormat="1" ht="12" customHeight="1" x14ac:dyDescent="0.25"/>
    <row r="690" s="1825" customFormat="1" ht="12" customHeight="1" x14ac:dyDescent="0.25"/>
    <row r="691" s="1825" customFormat="1" ht="12" customHeight="1" x14ac:dyDescent="0.25"/>
    <row r="692" s="1825" customFormat="1" ht="12" customHeight="1" x14ac:dyDescent="0.25"/>
    <row r="693" s="1825" customFormat="1" ht="12" customHeight="1" x14ac:dyDescent="0.25"/>
    <row r="694" s="1825" customFormat="1" ht="12" customHeight="1" x14ac:dyDescent="0.25"/>
    <row r="695" s="1825" customFormat="1" ht="12" customHeight="1" x14ac:dyDescent="0.25"/>
    <row r="696" s="1825" customFormat="1" ht="12" customHeight="1" x14ac:dyDescent="0.25"/>
    <row r="697" s="1825" customFormat="1" ht="12" customHeight="1" x14ac:dyDescent="0.25"/>
    <row r="698" s="1825" customFormat="1" ht="12" customHeight="1" x14ac:dyDescent="0.25"/>
    <row r="699" s="1825" customFormat="1" ht="12" customHeight="1" x14ac:dyDescent="0.25"/>
    <row r="700" s="1825" customFormat="1" ht="12" customHeight="1" x14ac:dyDescent="0.25"/>
    <row r="701" s="1825" customFormat="1" ht="12" customHeight="1" x14ac:dyDescent="0.25"/>
    <row r="702" s="1825" customFormat="1" ht="12" customHeight="1" x14ac:dyDescent="0.25"/>
    <row r="703" s="1825" customFormat="1" ht="12" customHeight="1" x14ac:dyDescent="0.25"/>
    <row r="704" s="1825" customFormat="1" ht="12" customHeight="1" x14ac:dyDescent="0.25"/>
    <row r="705" s="1825" customFormat="1" ht="12" customHeight="1" x14ac:dyDescent="0.25"/>
    <row r="706" s="1825" customFormat="1" ht="12" customHeight="1" x14ac:dyDescent="0.25"/>
    <row r="707" s="1825" customFormat="1" ht="12" customHeight="1" x14ac:dyDescent="0.25"/>
    <row r="708" s="1825" customFormat="1" ht="12" customHeight="1" x14ac:dyDescent="0.25"/>
    <row r="709" s="1825" customFormat="1" ht="12" customHeight="1" x14ac:dyDescent="0.25"/>
    <row r="710" s="1825" customFormat="1" ht="12" customHeight="1" x14ac:dyDescent="0.25"/>
    <row r="711" s="1825" customFormat="1" ht="12" customHeight="1" x14ac:dyDescent="0.25"/>
    <row r="712" s="1825" customFormat="1" ht="12" customHeight="1" x14ac:dyDescent="0.25"/>
    <row r="713" s="1825" customFormat="1" ht="12" customHeight="1" x14ac:dyDescent="0.25"/>
    <row r="714" s="1825" customFormat="1" ht="12" customHeight="1" x14ac:dyDescent="0.25"/>
    <row r="715" s="1825" customFormat="1" ht="12" customHeight="1" x14ac:dyDescent="0.25"/>
    <row r="716" s="1825" customFormat="1" ht="12" customHeight="1" x14ac:dyDescent="0.25"/>
    <row r="717" s="1825" customFormat="1" ht="12" customHeight="1" x14ac:dyDescent="0.25"/>
    <row r="718" s="1825" customFormat="1" ht="12" customHeight="1" x14ac:dyDescent="0.25"/>
    <row r="719" s="1825" customFormat="1" ht="12" customHeight="1" x14ac:dyDescent="0.25"/>
    <row r="720" s="1825" customFormat="1" ht="12" customHeight="1" x14ac:dyDescent="0.25"/>
    <row r="721" s="1825" customFormat="1" ht="12" customHeight="1" x14ac:dyDescent="0.25"/>
    <row r="722" s="1825" customFormat="1" ht="12" customHeight="1" x14ac:dyDescent="0.25"/>
    <row r="723" s="1825" customFormat="1" ht="12" customHeight="1" x14ac:dyDescent="0.25"/>
    <row r="724" s="1825" customFormat="1" ht="12" customHeight="1" x14ac:dyDescent="0.25"/>
    <row r="725" s="1825" customFormat="1" ht="12" customHeight="1" x14ac:dyDescent="0.25"/>
    <row r="726" s="1825" customFormat="1" ht="12" customHeight="1" x14ac:dyDescent="0.25"/>
    <row r="727" s="1825" customFormat="1" ht="12" customHeight="1" x14ac:dyDescent="0.25"/>
    <row r="728" s="1825" customFormat="1" ht="12" customHeight="1" x14ac:dyDescent="0.25"/>
    <row r="729" s="1825" customFormat="1" ht="12" customHeight="1" x14ac:dyDescent="0.25"/>
    <row r="730" s="1825" customFormat="1" ht="12" customHeight="1" x14ac:dyDescent="0.25"/>
    <row r="731" s="1825" customFormat="1" ht="12" customHeight="1" x14ac:dyDescent="0.25"/>
    <row r="732" s="1825" customFormat="1" ht="12" customHeight="1" x14ac:dyDescent="0.25"/>
    <row r="733" s="1825" customFormat="1" ht="12" customHeight="1" x14ac:dyDescent="0.25"/>
    <row r="734" s="1825" customFormat="1" ht="12" customHeight="1" x14ac:dyDescent="0.25"/>
    <row r="735" s="1825" customFormat="1" ht="12" customHeight="1" x14ac:dyDescent="0.25"/>
    <row r="736" s="1825" customFormat="1" ht="12" customHeight="1" x14ac:dyDescent="0.25"/>
    <row r="737" s="1825" customFormat="1" ht="12" customHeight="1" x14ac:dyDescent="0.25"/>
    <row r="738" s="1825" customFormat="1" ht="12" customHeight="1" x14ac:dyDescent="0.25"/>
    <row r="739" s="1825" customFormat="1" ht="12" customHeight="1" x14ac:dyDescent="0.25"/>
    <row r="740" s="1825" customFormat="1" ht="12" customHeight="1" x14ac:dyDescent="0.25"/>
    <row r="741" s="1825" customFormat="1" ht="12" customHeight="1" x14ac:dyDescent="0.25"/>
    <row r="742" s="1825" customFormat="1" ht="12" customHeight="1" x14ac:dyDescent="0.25"/>
    <row r="743" s="1825" customFormat="1" ht="12" customHeight="1" x14ac:dyDescent="0.25"/>
    <row r="744" s="1825" customFormat="1" ht="12" customHeight="1" x14ac:dyDescent="0.25"/>
    <row r="745" s="1825" customFormat="1" ht="12" customHeight="1" x14ac:dyDescent="0.25"/>
    <row r="746" s="1825" customFormat="1" ht="12" customHeight="1" x14ac:dyDescent="0.25"/>
    <row r="747" s="1825" customFormat="1" ht="12" customHeight="1" x14ac:dyDescent="0.25"/>
    <row r="748" s="1825" customFormat="1" ht="12" customHeight="1" x14ac:dyDescent="0.25"/>
    <row r="749" s="1825" customFormat="1" ht="12" customHeight="1" x14ac:dyDescent="0.25"/>
    <row r="750" s="1825" customFormat="1" ht="12" customHeight="1" x14ac:dyDescent="0.25"/>
    <row r="751" s="1825" customFormat="1" ht="12" customHeight="1" x14ac:dyDescent="0.25"/>
    <row r="752" s="1825" customFormat="1" ht="12" customHeight="1" x14ac:dyDescent="0.25"/>
    <row r="753" s="1825" customFormat="1" ht="12" customHeight="1" x14ac:dyDescent="0.25"/>
    <row r="754" s="1825" customFormat="1" ht="12" customHeight="1" x14ac:dyDescent="0.25"/>
    <row r="755" s="1825" customFormat="1" ht="12" customHeight="1" x14ac:dyDescent="0.25"/>
    <row r="756" s="1825" customFormat="1" ht="12" customHeight="1" x14ac:dyDescent="0.25"/>
    <row r="757" s="1825" customFormat="1" ht="12" customHeight="1" x14ac:dyDescent="0.25"/>
    <row r="758" s="1825" customFormat="1" ht="12" customHeight="1" x14ac:dyDescent="0.25"/>
    <row r="759" s="1825" customFormat="1" ht="12" customHeight="1" x14ac:dyDescent="0.25"/>
    <row r="760" s="1825" customFormat="1" ht="12" customHeight="1" x14ac:dyDescent="0.25"/>
    <row r="761" s="1825" customFormat="1" ht="12" customHeight="1" x14ac:dyDescent="0.25"/>
    <row r="762" s="1825" customFormat="1" ht="12" customHeight="1" x14ac:dyDescent="0.25"/>
    <row r="763" s="1825" customFormat="1" ht="12" customHeight="1" x14ac:dyDescent="0.25"/>
    <row r="764" s="1825" customFormat="1" ht="12" customHeight="1" x14ac:dyDescent="0.25"/>
    <row r="765" s="1825" customFormat="1" ht="12" customHeight="1" x14ac:dyDescent="0.25"/>
    <row r="766" s="1825" customFormat="1" ht="12" customHeight="1" x14ac:dyDescent="0.25"/>
    <row r="767" s="1825" customFormat="1" ht="12" customHeight="1" x14ac:dyDescent="0.25"/>
    <row r="768" s="1825" customFormat="1" ht="12" customHeight="1" x14ac:dyDescent="0.25"/>
    <row r="769" s="1825" customFormat="1" ht="12" customHeight="1" x14ac:dyDescent="0.25"/>
    <row r="770" s="1825" customFormat="1" ht="12" customHeight="1" x14ac:dyDescent="0.25"/>
    <row r="771" s="1825" customFormat="1" ht="12" customHeight="1" x14ac:dyDescent="0.25"/>
    <row r="772" s="1825" customFormat="1" ht="12" customHeight="1" x14ac:dyDescent="0.25"/>
    <row r="773" s="1825" customFormat="1" ht="12" customHeight="1" x14ac:dyDescent="0.25"/>
    <row r="774" s="1825" customFormat="1" ht="12" customHeight="1" x14ac:dyDescent="0.25"/>
    <row r="775" s="1825" customFormat="1" ht="12" customHeight="1" x14ac:dyDescent="0.25"/>
  </sheetData>
  <sheetProtection formatCells="0" formatColumns="0" formatRows="0" insertColumns="0" insertRows="0"/>
  <mergeCells count="14">
    <mergeCell ref="B3:B5"/>
    <mergeCell ref="F18:G18"/>
    <mergeCell ref="C14:G14"/>
    <mergeCell ref="C3:C5"/>
    <mergeCell ref="D3:D5"/>
    <mergeCell ref="F4:F5"/>
    <mergeCell ref="G4:G5"/>
    <mergeCell ref="F3:N3"/>
    <mergeCell ref="H4:H5"/>
    <mergeCell ref="I4:I5"/>
    <mergeCell ref="J4:K4"/>
    <mergeCell ref="L4:L5"/>
    <mergeCell ref="M4:M5"/>
    <mergeCell ref="N4:N5"/>
  </mergeCells>
  <conditionalFormatting sqref="C14">
    <cfRule type="containsText" dxfId="10" priority="1" operator="containsText" text="Choose">
      <formula>NOT(ISERROR(SEARCH("Choose",C14)))</formula>
    </cfRule>
  </conditionalFormatting>
  <dataValidations count="5">
    <dataValidation type="list" allowBlank="1" showInputMessage="1" showErrorMessage="1" sqref="N9:N10" xr:uid="{EB2D9888-E6ED-4F33-9F51-11816A99AAB9}">
      <formula1>$N$17:$N$20</formula1>
    </dataValidation>
    <dataValidation type="list" allowBlank="1" showInputMessage="1" showErrorMessage="1" sqref="D3" xr:uid="{22724372-497A-4CF1-8626-EF2DC63FEA0D}">
      <formula1>$D$18:$D$25</formula1>
    </dataValidation>
    <dataValidation type="list" allowBlank="1" showInputMessage="1" showErrorMessage="1" sqref="N6:N7" xr:uid="{6519088F-024A-455A-AC1F-8223563151F5}">
      <formula1>$N$18:$N$21</formula1>
    </dataValidation>
    <dataValidation type="list" allowBlank="1" showInputMessage="1" showErrorMessage="1" sqref="G4" xr:uid="{BE46B0F6-70B5-42E8-BF51-0992D3621C50}">
      <formula1>#REF!</formula1>
    </dataValidation>
    <dataValidation type="list" allowBlank="1" showInputMessage="1" showErrorMessage="1" sqref="C14" xr:uid="{CCBF4093-726F-4225-AE29-A1A4DE1FA7DF}">
      <formula1>$F$18:$F$38</formula1>
    </dataValidation>
  </dataValidations>
  <pageMargins left="0.7" right="0.7" top="0.75" bottom="0.75" header="0.3" footer="0.3"/>
  <pageSetup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B9ED-C760-48A6-8ECE-CEF6F3C5DB96}">
  <dimension ref="B1:R13"/>
  <sheetViews>
    <sheetView showGridLines="0" zoomScaleNormal="100" workbookViewId="0"/>
  </sheetViews>
  <sheetFormatPr defaultColWidth="13.42578125" defaultRowHeight="12" x14ac:dyDescent="0.2"/>
  <cols>
    <col min="1" max="1" width="1.7109375" style="106" customWidth="1"/>
    <col min="2" max="2" width="16.7109375" style="106" customWidth="1"/>
    <col min="3" max="14" width="4.7109375" style="106" customWidth="1"/>
    <col min="15" max="15" width="5.7109375" style="106" customWidth="1"/>
    <col min="16" max="16" width="7.5703125" style="1722" bestFit="1" customWidth="1"/>
    <col min="17" max="17" width="12.7109375" style="111" customWidth="1"/>
    <col min="18" max="16384" width="13.42578125" style="106"/>
  </cols>
  <sheetData>
    <row r="1" spans="2:18" ht="9.9499999999999993" customHeight="1" thickBot="1" x14ac:dyDescent="0.25"/>
    <row r="2" spans="2:18" s="110" customFormat="1" ht="12.75" thickBot="1" x14ac:dyDescent="0.25">
      <c r="B2" s="350">
        <v>2023</v>
      </c>
      <c r="C2" s="351" t="s">
        <v>228</v>
      </c>
      <c r="D2" s="351" t="s">
        <v>229</v>
      </c>
      <c r="E2" s="351" t="s">
        <v>230</v>
      </c>
      <c r="F2" s="351" t="s">
        <v>231</v>
      </c>
      <c r="G2" s="351" t="s">
        <v>232</v>
      </c>
      <c r="H2" s="351" t="s">
        <v>233</v>
      </c>
      <c r="I2" s="351" t="s">
        <v>234</v>
      </c>
      <c r="J2" s="351" t="s">
        <v>235</v>
      </c>
      <c r="K2" s="351" t="s">
        <v>236</v>
      </c>
      <c r="L2" s="351" t="s">
        <v>237</v>
      </c>
      <c r="M2" s="351" t="s">
        <v>238</v>
      </c>
      <c r="N2" s="351" t="s">
        <v>239</v>
      </c>
      <c r="O2" s="357" t="s">
        <v>240</v>
      </c>
      <c r="P2" s="1723" t="s">
        <v>241</v>
      </c>
      <c r="Q2" s="358"/>
    </row>
    <row r="3" spans="2:18" s="110" customFormat="1" x14ac:dyDescent="0.2">
      <c r="B3" s="352" t="s">
        <v>242</v>
      </c>
      <c r="C3" s="359"/>
      <c r="D3" s="359"/>
      <c r="E3" s="359"/>
      <c r="F3" s="359"/>
      <c r="G3" s="359"/>
      <c r="H3" s="360"/>
      <c r="I3" s="360"/>
      <c r="J3" s="359"/>
      <c r="K3" s="359"/>
      <c r="L3" s="359"/>
      <c r="M3" s="359"/>
      <c r="N3" s="359"/>
      <c r="O3" s="367">
        <f>SUM(C3:N3)</f>
        <v>0</v>
      </c>
      <c r="P3" s="1724" t="e">
        <f>+O3/Q3</f>
        <v>#DIV/0!</v>
      </c>
      <c r="Q3" s="361">
        <f>COUNT(C3:N3)</f>
        <v>0</v>
      </c>
      <c r="R3" s="362">
        <f>SUM(F3:N3)</f>
        <v>0</v>
      </c>
    </row>
    <row r="4" spans="2:18" ht="12.75" thickBot="1" x14ac:dyDescent="0.25">
      <c r="B4" s="355" t="s">
        <v>243</v>
      </c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8">
        <f>SUM(C4:N4)</f>
        <v>0</v>
      </c>
      <c r="P4" s="1725" t="e">
        <f>+O4/Q4</f>
        <v>#DIV/0!</v>
      </c>
      <c r="Q4" s="361">
        <f>COUNT(C4:N4)</f>
        <v>0</v>
      </c>
      <c r="R4" s="362">
        <f>SUM(C4:I4)</f>
        <v>0</v>
      </c>
    </row>
    <row r="5" spans="2:18" ht="3.6" customHeight="1" thickBot="1" x14ac:dyDescent="0.25">
      <c r="B5" s="110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9"/>
      <c r="P5" s="1726"/>
      <c r="Q5" s="364"/>
    </row>
    <row r="6" spans="2:18" s="110" customFormat="1" ht="12.75" thickBot="1" x14ac:dyDescent="0.25">
      <c r="B6" s="350">
        <v>2024</v>
      </c>
      <c r="C6" s="351" t="s">
        <v>228</v>
      </c>
      <c r="D6" s="351" t="s">
        <v>229</v>
      </c>
      <c r="E6" s="351" t="s">
        <v>230</v>
      </c>
      <c r="F6" s="351" t="s">
        <v>231</v>
      </c>
      <c r="G6" s="351" t="s">
        <v>232</v>
      </c>
      <c r="H6" s="351" t="s">
        <v>233</v>
      </c>
      <c r="I6" s="351" t="s">
        <v>234</v>
      </c>
      <c r="J6" s="351" t="s">
        <v>235</v>
      </c>
      <c r="K6" s="351" t="s">
        <v>236</v>
      </c>
      <c r="L6" s="351" t="s">
        <v>237</v>
      </c>
      <c r="M6" s="351" t="s">
        <v>238</v>
      </c>
      <c r="N6" s="351" t="s">
        <v>239</v>
      </c>
      <c r="O6" s="357" t="s">
        <v>240</v>
      </c>
      <c r="P6" s="1723" t="str">
        <f>+P2</f>
        <v>Abs</v>
      </c>
      <c r="Q6" s="358"/>
    </row>
    <row r="7" spans="2:18" s="110" customFormat="1" x14ac:dyDescent="0.2">
      <c r="B7" s="352" t="s">
        <v>242</v>
      </c>
      <c r="C7" s="359"/>
      <c r="D7" s="359"/>
      <c r="E7" s="359"/>
      <c r="F7" s="359"/>
      <c r="G7" s="359"/>
      <c r="H7" s="360"/>
      <c r="I7" s="360"/>
      <c r="J7" s="359"/>
      <c r="K7" s="359"/>
      <c r="L7" s="359"/>
      <c r="M7" s="359"/>
      <c r="N7" s="359"/>
      <c r="O7" s="367">
        <f>SUM(C7:N7)</f>
        <v>0</v>
      </c>
      <c r="P7" s="1724" t="e">
        <f>+O7/Q7</f>
        <v>#DIV/0!</v>
      </c>
      <c r="Q7" s="361">
        <f>COUNT(C7:N7)</f>
        <v>0</v>
      </c>
      <c r="R7" s="362">
        <f>SUM(F7:N7)</f>
        <v>0</v>
      </c>
    </row>
    <row r="8" spans="2:18" ht="12.75" thickBot="1" x14ac:dyDescent="0.25">
      <c r="B8" s="355" t="s">
        <v>243</v>
      </c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8">
        <f>SUM(C8:N8)</f>
        <v>0</v>
      </c>
      <c r="P8" s="1725" t="e">
        <f>+O8/Q8</f>
        <v>#DIV/0!</v>
      </c>
      <c r="Q8" s="361">
        <f>COUNT(C8:N8)</f>
        <v>0</v>
      </c>
      <c r="R8" s="362">
        <f>SUM(C8:I8)</f>
        <v>0</v>
      </c>
    </row>
    <row r="9" spans="2:18" ht="3.6" customHeight="1" thickBot="1" x14ac:dyDescent="0.25">
      <c r="B9" s="110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9"/>
      <c r="P9" s="1726"/>
      <c r="Q9" s="364"/>
    </row>
    <row r="10" spans="2:18" s="110" customFormat="1" ht="12.75" thickBot="1" x14ac:dyDescent="0.25">
      <c r="B10" s="350">
        <v>2025</v>
      </c>
      <c r="C10" s="351" t="s">
        <v>228</v>
      </c>
      <c r="D10" s="351" t="s">
        <v>229</v>
      </c>
      <c r="E10" s="351" t="s">
        <v>230</v>
      </c>
      <c r="F10" s="351" t="s">
        <v>231</v>
      </c>
      <c r="G10" s="351" t="s">
        <v>232</v>
      </c>
      <c r="H10" s="351" t="s">
        <v>233</v>
      </c>
      <c r="I10" s="351" t="s">
        <v>234</v>
      </c>
      <c r="J10" s="351" t="s">
        <v>235</v>
      </c>
      <c r="K10" s="351" t="s">
        <v>236</v>
      </c>
      <c r="L10" s="351" t="s">
        <v>237</v>
      </c>
      <c r="M10" s="351" t="s">
        <v>238</v>
      </c>
      <c r="N10" s="351" t="s">
        <v>239</v>
      </c>
      <c r="O10" s="357" t="s">
        <v>240</v>
      </c>
      <c r="P10" s="1723" t="str">
        <f>+P6</f>
        <v>Abs</v>
      </c>
      <c r="Q10" s="358"/>
    </row>
    <row r="11" spans="2:18" s="110" customFormat="1" x14ac:dyDescent="0.2">
      <c r="B11" s="352" t="s">
        <v>242</v>
      </c>
      <c r="C11" s="359"/>
      <c r="D11" s="359"/>
      <c r="E11" s="359"/>
      <c r="F11" s="359"/>
      <c r="G11" s="359"/>
      <c r="H11" s="360"/>
      <c r="I11" s="360"/>
      <c r="J11" s="359"/>
      <c r="K11" s="359"/>
      <c r="L11" s="359"/>
      <c r="M11" s="359"/>
      <c r="N11" s="359"/>
      <c r="O11" s="367">
        <f>SUM(C11:N11)</f>
        <v>0</v>
      </c>
      <c r="P11" s="1724" t="e">
        <f>+O11/Q11</f>
        <v>#DIV/0!</v>
      </c>
      <c r="Q11" s="361">
        <f>COUNT(C11:N11)</f>
        <v>0</v>
      </c>
      <c r="R11" s="362">
        <f>SUM(F11:N11)</f>
        <v>0</v>
      </c>
    </row>
    <row r="12" spans="2:18" ht="12.75" thickBot="1" x14ac:dyDescent="0.25">
      <c r="B12" s="355" t="s">
        <v>243</v>
      </c>
      <c r="C12" s="363"/>
      <c r="D12" s="363"/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8">
        <f>SUM(C12:N12)</f>
        <v>0</v>
      </c>
      <c r="P12" s="1725" t="e">
        <f>+O12/Q12</f>
        <v>#DIV/0!</v>
      </c>
      <c r="Q12" s="361">
        <f>COUNT(C12:N12)</f>
        <v>0</v>
      </c>
      <c r="R12" s="362">
        <f>SUM(C12:I12)</f>
        <v>0</v>
      </c>
    </row>
    <row r="13" spans="2:18" x14ac:dyDescent="0.2"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1727"/>
      <c r="Q13" s="366"/>
    </row>
  </sheetData>
  <sheetProtection formatCells="0" formatColumns="0" formatRows="0" insertColumns="0" insertRows="0"/>
  <pageMargins left="0.7" right="0.7" top="0.75" bottom="0.75" header="0.3" footer="0.3"/>
  <pageSetup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4344-477B-4865-9963-455338C2EC86}">
  <dimension ref="B1:M23"/>
  <sheetViews>
    <sheetView showGridLines="0" zoomScaleNormal="100" workbookViewId="0"/>
  </sheetViews>
  <sheetFormatPr defaultColWidth="9.140625" defaultRowHeight="12.75" x14ac:dyDescent="0.25"/>
  <cols>
    <col min="1" max="1" width="1.7109375" style="1332" customWidth="1"/>
    <col min="2" max="2" width="10.7109375" style="1332" customWidth="1"/>
    <col min="3" max="3" width="8" style="1332" customWidth="1"/>
    <col min="4" max="4" width="25.28515625" style="1332" bestFit="1" customWidth="1"/>
    <col min="5" max="10" width="12.7109375" style="1332" customWidth="1"/>
    <col min="11" max="11" width="18.140625" style="1332" customWidth="1"/>
    <col min="12" max="12" width="1.42578125" style="1332" customWidth="1"/>
    <col min="13" max="13" width="12.5703125" style="1332" bestFit="1" customWidth="1"/>
    <col min="14" max="16384" width="9.140625" style="1332"/>
  </cols>
  <sheetData>
    <row r="1" spans="2:13" ht="9.9499999999999993" customHeight="1" thickBot="1" x14ac:dyDescent="0.3"/>
    <row r="2" spans="2:13" x14ac:dyDescent="0.25">
      <c r="B2" s="2020"/>
      <c r="C2" s="2024" t="s">
        <v>244</v>
      </c>
      <c r="D2" s="2025"/>
      <c r="E2" s="2030" t="s">
        <v>245</v>
      </c>
      <c r="F2" s="2030"/>
      <c r="G2" s="2030"/>
      <c r="H2" s="2031" t="s">
        <v>246</v>
      </c>
      <c r="I2" s="2032"/>
      <c r="J2" s="2033"/>
      <c r="K2" s="1319"/>
    </row>
    <row r="3" spans="2:13" x14ac:dyDescent="0.25">
      <c r="B3" s="2021"/>
      <c r="C3" s="2026"/>
      <c r="D3" s="2027"/>
      <c r="E3" s="2034" t="s">
        <v>247</v>
      </c>
      <c r="F3" s="2036" t="s">
        <v>116</v>
      </c>
      <c r="G3" s="1324" t="s">
        <v>248</v>
      </c>
      <c r="H3" s="2038" t="s">
        <v>249</v>
      </c>
      <c r="I3" s="2036" t="s">
        <v>116</v>
      </c>
      <c r="J3" s="1325" t="s">
        <v>248</v>
      </c>
      <c r="K3" s="1319"/>
    </row>
    <row r="4" spans="2:13" x14ac:dyDescent="0.25">
      <c r="B4" s="2022"/>
      <c r="C4" s="2028"/>
      <c r="D4" s="2029"/>
      <c r="E4" s="2035"/>
      <c r="F4" s="2037"/>
      <c r="G4" s="1326" t="s">
        <v>250</v>
      </c>
      <c r="H4" s="2039"/>
      <c r="I4" s="2037"/>
      <c r="J4" s="1327" t="str">
        <f>G4</f>
        <v>Unit/Acre</v>
      </c>
      <c r="K4" s="1319"/>
    </row>
    <row r="5" spans="2:13" x14ac:dyDescent="0.25">
      <c r="B5" s="2016">
        <v>1</v>
      </c>
      <c r="C5" s="2051" t="s">
        <v>251</v>
      </c>
      <c r="D5" s="2052"/>
      <c r="E5" s="2053">
        <v>45833</v>
      </c>
      <c r="F5" s="2045">
        <v>6200000</v>
      </c>
      <c r="G5" s="2048">
        <f>IF(C6&gt;0,+F5/C6,0)</f>
        <v>47692.307692307695</v>
      </c>
      <c r="H5" s="2059">
        <v>46563</v>
      </c>
      <c r="I5" s="2045">
        <v>12000000</v>
      </c>
      <c r="J5" s="2040">
        <f>IF(C6&gt;0,+I5/C6,0)</f>
        <v>92307.692307692312</v>
      </c>
      <c r="K5" s="2063" t="s">
        <v>252</v>
      </c>
      <c r="L5" s="2063"/>
      <c r="M5" s="2063"/>
    </row>
    <row r="6" spans="2:13" x14ac:dyDescent="0.25">
      <c r="B6" s="2017"/>
      <c r="C6" s="1378">
        <v>130</v>
      </c>
      <c r="D6" s="1320" t="s">
        <v>253</v>
      </c>
      <c r="E6" s="2054"/>
      <c r="F6" s="2046"/>
      <c r="G6" s="2049"/>
      <c r="H6" s="2060"/>
      <c r="I6" s="2046"/>
      <c r="J6" s="2041"/>
      <c r="K6" s="2063"/>
      <c r="L6" s="2063"/>
      <c r="M6" s="2063"/>
    </row>
    <row r="7" spans="2:13" x14ac:dyDescent="0.25">
      <c r="B7" s="2018"/>
      <c r="C7" s="1379"/>
      <c r="D7" s="1321" t="s">
        <v>254</v>
      </c>
      <c r="E7" s="2055"/>
      <c r="F7" s="2056"/>
      <c r="G7" s="2057"/>
      <c r="H7" s="2064"/>
      <c r="I7" s="2056"/>
      <c r="J7" s="2042"/>
      <c r="K7" s="2063"/>
      <c r="L7" s="2063"/>
      <c r="M7" s="2063"/>
    </row>
    <row r="8" spans="2:13" ht="15" customHeight="1" x14ac:dyDescent="0.25">
      <c r="B8" s="2016">
        <v>2</v>
      </c>
      <c r="C8" s="2051" t="s">
        <v>251</v>
      </c>
      <c r="D8" s="2052"/>
      <c r="E8" s="2053">
        <v>45833</v>
      </c>
      <c r="F8" s="2045">
        <v>1000000</v>
      </c>
      <c r="G8" s="2048">
        <f>IF(C9&gt;0,+F8/C9,0)</f>
        <v>10000</v>
      </c>
      <c r="H8" s="2059">
        <v>46929</v>
      </c>
      <c r="I8" s="2045">
        <v>1000000</v>
      </c>
      <c r="J8" s="2040">
        <f>IF(C9&gt;0,+I8/C9,0)</f>
        <v>10000</v>
      </c>
      <c r="K8" s="2063"/>
      <c r="L8" s="2063"/>
      <c r="M8" s="2063"/>
    </row>
    <row r="9" spans="2:13" ht="15" customHeight="1" x14ac:dyDescent="0.25">
      <c r="B9" s="2017"/>
      <c r="C9" s="1378">
        <v>100</v>
      </c>
      <c r="D9" s="1320" t="s">
        <v>253</v>
      </c>
      <c r="E9" s="2054"/>
      <c r="F9" s="2046"/>
      <c r="G9" s="2049"/>
      <c r="H9" s="2060"/>
      <c r="I9" s="2046"/>
      <c r="J9" s="2041"/>
      <c r="K9" s="2063"/>
      <c r="L9" s="2063"/>
      <c r="M9" s="2063"/>
    </row>
    <row r="10" spans="2:13" x14ac:dyDescent="0.25">
      <c r="B10" s="2018"/>
      <c r="C10" s="1379"/>
      <c r="D10" s="1321" t="s">
        <v>254</v>
      </c>
      <c r="E10" s="2055"/>
      <c r="F10" s="2056"/>
      <c r="G10" s="2057"/>
      <c r="H10" s="2064"/>
      <c r="I10" s="2056"/>
      <c r="J10" s="2042"/>
      <c r="K10" s="2063"/>
      <c r="L10" s="2063"/>
      <c r="M10" s="2063"/>
    </row>
    <row r="11" spans="2:13" x14ac:dyDescent="0.25">
      <c r="B11" s="2016">
        <v>3</v>
      </c>
      <c r="C11" s="2051" t="s">
        <v>251</v>
      </c>
      <c r="D11" s="2052"/>
      <c r="E11" s="2053">
        <v>45833</v>
      </c>
      <c r="F11" s="2045">
        <v>500000</v>
      </c>
      <c r="G11" s="2048">
        <f>IF(C12&gt;0,+F11/C12,0)</f>
        <v>10000</v>
      </c>
      <c r="H11" s="2059">
        <v>47294</v>
      </c>
      <c r="I11" s="2045">
        <v>1000000</v>
      </c>
      <c r="J11" s="2040">
        <f>IF(C12&gt;0,+I11/C12,0)</f>
        <v>20000</v>
      </c>
      <c r="K11" s="2063"/>
      <c r="L11" s="2063"/>
      <c r="M11" s="2063"/>
    </row>
    <row r="12" spans="2:13" ht="14.45" customHeight="1" x14ac:dyDescent="0.25">
      <c r="B12" s="2017"/>
      <c r="C12" s="1378">
        <v>50</v>
      </c>
      <c r="D12" s="1320" t="s">
        <v>253</v>
      </c>
      <c r="E12" s="2054"/>
      <c r="F12" s="2046"/>
      <c r="G12" s="2049"/>
      <c r="H12" s="2060"/>
      <c r="I12" s="2046"/>
      <c r="J12" s="2041"/>
      <c r="K12" s="2063"/>
      <c r="L12" s="2063"/>
      <c r="M12" s="2063"/>
    </row>
    <row r="13" spans="2:13" ht="15" customHeight="1" thickBot="1" x14ac:dyDescent="0.3">
      <c r="B13" s="2019"/>
      <c r="C13" s="1380"/>
      <c r="D13" s="1322" t="s">
        <v>254</v>
      </c>
      <c r="E13" s="2058"/>
      <c r="F13" s="2047"/>
      <c r="G13" s="2050"/>
      <c r="H13" s="2061"/>
      <c r="I13" s="2047"/>
      <c r="J13" s="2062"/>
      <c r="K13" s="2063"/>
      <c r="L13" s="2063"/>
      <c r="M13" s="2063"/>
    </row>
    <row r="14" spans="2:13" x14ac:dyDescent="0.25">
      <c r="B14" s="1333"/>
      <c r="C14" s="1328"/>
      <c r="D14" s="1328"/>
      <c r="E14" s="1328"/>
      <c r="F14" s="1328"/>
      <c r="G14" s="1328"/>
      <c r="H14" s="1329" t="s">
        <v>255</v>
      </c>
      <c r="I14" s="1352">
        <f>SUM(I5:I13)</f>
        <v>14000000</v>
      </c>
      <c r="J14" s="1422"/>
      <c r="K14" s="1323" t="s">
        <v>256</v>
      </c>
    </row>
    <row r="15" spans="2:13" x14ac:dyDescent="0.25">
      <c r="B15" s="1334"/>
      <c r="C15" s="1330"/>
      <c r="D15" s="1330"/>
      <c r="E15" s="1330"/>
      <c r="F15" s="1330"/>
      <c r="G15" s="1330"/>
      <c r="H15" s="1331" t="s">
        <v>257</v>
      </c>
      <c r="I15" s="1353">
        <v>4000000</v>
      </c>
      <c r="J15" s="1423">
        <v>10000000</v>
      </c>
    </row>
    <row r="16" spans="2:13" ht="13.5" thickBot="1" x14ac:dyDescent="0.3">
      <c r="B16" s="1335"/>
      <c r="C16" s="1336"/>
      <c r="D16" s="1336"/>
      <c r="E16" s="1336"/>
      <c r="F16" s="1336"/>
      <c r="G16" s="2043" t="s">
        <v>258</v>
      </c>
      <c r="H16" s="2044"/>
      <c r="I16" s="1381">
        <f>+I15/I14</f>
        <v>0.2857142857142857</v>
      </c>
      <c r="J16" s="1424">
        <f>J15/I14</f>
        <v>0.7142857142857143</v>
      </c>
    </row>
    <row r="18" spans="2:11" ht="15" customHeight="1" x14ac:dyDescent="0.25">
      <c r="B18" s="2023" t="s">
        <v>259</v>
      </c>
      <c r="C18" s="2023"/>
      <c r="D18" s="2023"/>
      <c r="E18" s="2023"/>
      <c r="F18" s="2023"/>
      <c r="G18" s="2023"/>
      <c r="H18" s="2023"/>
      <c r="I18" s="2023"/>
      <c r="J18" s="2023"/>
      <c r="K18" s="1351"/>
    </row>
    <row r="19" spans="2:11" ht="12.75" customHeight="1" x14ac:dyDescent="0.25">
      <c r="B19" s="2023"/>
      <c r="C19" s="2023"/>
      <c r="D19" s="2023"/>
      <c r="E19" s="2023"/>
      <c r="F19" s="2023"/>
      <c r="G19" s="2023"/>
      <c r="H19" s="2023"/>
      <c r="I19" s="2023"/>
      <c r="J19" s="2023"/>
      <c r="K19" s="1351"/>
    </row>
    <row r="20" spans="2:11" ht="12.75" customHeight="1" x14ac:dyDescent="0.25">
      <c r="B20" s="2023"/>
      <c r="C20" s="2023"/>
      <c r="D20" s="2023"/>
      <c r="E20" s="2023"/>
      <c r="F20" s="2023"/>
      <c r="G20" s="2023"/>
      <c r="H20" s="2023"/>
      <c r="I20" s="2023"/>
      <c r="J20" s="2023"/>
      <c r="K20" s="1351"/>
    </row>
    <row r="21" spans="2:11" ht="12.75" customHeight="1" x14ac:dyDescent="0.25">
      <c r="B21" s="2023"/>
      <c r="C21" s="2023"/>
      <c r="D21" s="2023"/>
      <c r="E21" s="2023"/>
      <c r="F21" s="2023"/>
      <c r="G21" s="2023"/>
      <c r="H21" s="2023"/>
      <c r="I21" s="2023"/>
      <c r="J21" s="2023"/>
      <c r="K21" s="1351"/>
    </row>
    <row r="22" spans="2:11" ht="12.75" customHeight="1" x14ac:dyDescent="0.25">
      <c r="B22" s="2023"/>
      <c r="C22" s="2023"/>
      <c r="D22" s="2023"/>
      <c r="E22" s="2023"/>
      <c r="F22" s="2023"/>
      <c r="G22" s="2023"/>
      <c r="H22" s="2023"/>
      <c r="I22" s="2023"/>
      <c r="J22" s="2023"/>
      <c r="K22" s="1351"/>
    </row>
    <row r="23" spans="2:11" ht="15" customHeight="1" x14ac:dyDescent="0.25">
      <c r="B23" s="2023"/>
      <c r="C23" s="2023"/>
      <c r="D23" s="2023"/>
      <c r="E23" s="2023"/>
      <c r="F23" s="2023"/>
      <c r="G23" s="2023"/>
      <c r="H23" s="2023"/>
      <c r="I23" s="2023"/>
      <c r="J23" s="2023"/>
    </row>
  </sheetData>
  <mergeCells count="35">
    <mergeCell ref="K5:M13"/>
    <mergeCell ref="I8:I10"/>
    <mergeCell ref="J8:J10"/>
    <mergeCell ref="H5:H7"/>
    <mergeCell ref="I5:I7"/>
    <mergeCell ref="H8:H10"/>
    <mergeCell ref="E11:E13"/>
    <mergeCell ref="H11:H13"/>
    <mergeCell ref="I11:I13"/>
    <mergeCell ref="J11:J13"/>
    <mergeCell ref="C11:D11"/>
    <mergeCell ref="C5:D5"/>
    <mergeCell ref="E5:E7"/>
    <mergeCell ref="F5:F7"/>
    <mergeCell ref="G5:G7"/>
    <mergeCell ref="C8:D8"/>
    <mergeCell ref="E8:E10"/>
    <mergeCell ref="F8:F10"/>
    <mergeCell ref="G8:G10"/>
    <mergeCell ref="B5:B7"/>
    <mergeCell ref="B8:B10"/>
    <mergeCell ref="B11:B13"/>
    <mergeCell ref="B2:B4"/>
    <mergeCell ref="B18:J23"/>
    <mergeCell ref="C2:D4"/>
    <mergeCell ref="E2:G2"/>
    <mergeCell ref="H2:J2"/>
    <mergeCell ref="E3:E4"/>
    <mergeCell ref="F3:F4"/>
    <mergeCell ref="H3:H4"/>
    <mergeCell ref="I3:I4"/>
    <mergeCell ref="J5:J7"/>
    <mergeCell ref="G16:H16"/>
    <mergeCell ref="F11:F13"/>
    <mergeCell ref="G11:G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2896-7F5D-4FC4-9A03-FB72A51C63BC}">
  <sheetPr>
    <pageSetUpPr fitToPage="1"/>
  </sheetPr>
  <dimension ref="B1:Y50"/>
  <sheetViews>
    <sheetView showGridLines="0" zoomScaleNormal="100" workbookViewId="0"/>
  </sheetViews>
  <sheetFormatPr defaultColWidth="8.85546875" defaultRowHeight="12.75" x14ac:dyDescent="0.2"/>
  <cols>
    <col min="1" max="1" width="1.7109375" style="1" customWidth="1"/>
    <col min="2" max="2" width="3" style="1" customWidth="1"/>
    <col min="3" max="3" width="23.7109375" style="1" customWidth="1"/>
    <col min="4" max="4" width="3.7109375" style="1" customWidth="1"/>
    <col min="5" max="6" width="10.7109375" style="1" hidden="1" customWidth="1"/>
    <col min="7" max="10" width="10.7109375" style="1" customWidth="1"/>
    <col min="11" max="12" width="10.7109375" style="1" hidden="1" customWidth="1"/>
    <col min="13" max="16384" width="8.85546875" style="1"/>
  </cols>
  <sheetData>
    <row r="1" spans="2:15" ht="9.9499999999999993" customHeight="1" thickBot="1" x14ac:dyDescent="0.25">
      <c r="E1" s="10"/>
    </row>
    <row r="2" spans="2:15" ht="15" customHeight="1" x14ac:dyDescent="0.2">
      <c r="B2" s="1394" t="s">
        <v>260</v>
      </c>
      <c r="C2" s="75"/>
      <c r="D2" s="2065" t="s">
        <v>261</v>
      </c>
      <c r="E2" s="1152" t="s">
        <v>262</v>
      </c>
      <c r="F2" s="1153" t="s">
        <v>262</v>
      </c>
      <c r="G2" s="1153" t="s">
        <v>262</v>
      </c>
      <c r="H2" s="1154" t="s">
        <v>262</v>
      </c>
      <c r="I2" s="1152" t="s">
        <v>263</v>
      </c>
      <c r="J2" s="1154" t="s">
        <v>263</v>
      </c>
      <c r="K2" s="76" t="s">
        <v>264</v>
      </c>
      <c r="L2" s="77" t="s">
        <v>264</v>
      </c>
    </row>
    <row r="3" spans="2:15" ht="15" customHeight="1" thickBot="1" x14ac:dyDescent="0.25">
      <c r="B3" s="2067" t="s">
        <v>265</v>
      </c>
      <c r="C3" s="2068"/>
      <c r="D3" s="2066"/>
      <c r="E3" s="1684">
        <v>44561</v>
      </c>
      <c r="F3" s="1685">
        <v>44926</v>
      </c>
      <c r="G3" s="1685">
        <v>45291</v>
      </c>
      <c r="H3" s="1686">
        <v>45657</v>
      </c>
      <c r="I3" s="1684">
        <v>45382</v>
      </c>
      <c r="J3" s="1686">
        <v>45747</v>
      </c>
      <c r="K3" s="1684">
        <v>46022</v>
      </c>
      <c r="L3" s="1686">
        <v>46387</v>
      </c>
      <c r="M3" s="11"/>
      <c r="N3" s="11"/>
      <c r="O3" s="11"/>
    </row>
    <row r="4" spans="2:15" x14ac:dyDescent="0.2">
      <c r="B4" s="12"/>
      <c r="C4" s="13" t="s">
        <v>266</v>
      </c>
      <c r="D4" s="14"/>
      <c r="E4" s="15"/>
      <c r="F4" s="16"/>
      <c r="G4" s="16"/>
      <c r="H4" s="17"/>
      <c r="I4" s="18"/>
      <c r="J4" s="19"/>
      <c r="K4" s="15"/>
      <c r="L4" s="17"/>
    </row>
    <row r="5" spans="2:15" x14ac:dyDescent="0.2">
      <c r="B5" s="12"/>
      <c r="C5" s="20" t="s">
        <v>267</v>
      </c>
      <c r="D5" s="14"/>
      <c r="E5" s="15"/>
      <c r="F5" s="16"/>
      <c r="G5" s="16"/>
      <c r="H5" s="17"/>
      <c r="I5" s="21"/>
      <c r="J5" s="22"/>
      <c r="K5" s="15"/>
      <c r="L5" s="17"/>
    </row>
    <row r="6" spans="2:15" x14ac:dyDescent="0.2">
      <c r="B6" s="12"/>
      <c r="C6" s="13" t="s">
        <v>268</v>
      </c>
      <c r="D6" s="14"/>
      <c r="E6" s="15"/>
      <c r="F6" s="16"/>
      <c r="G6" s="16"/>
      <c r="H6" s="17"/>
      <c r="I6" s="15"/>
      <c r="J6" s="17"/>
      <c r="K6" s="15"/>
      <c r="L6" s="17"/>
    </row>
    <row r="7" spans="2:15" x14ac:dyDescent="0.2">
      <c r="B7" s="12"/>
      <c r="C7" s="23" t="s">
        <v>269</v>
      </c>
      <c r="D7" s="24"/>
      <c r="E7" s="1150"/>
      <c r="F7" s="1147"/>
      <c r="G7" s="1147"/>
      <c r="H7" s="1148"/>
      <c r="I7" s="1149"/>
      <c r="J7" s="1151"/>
      <c r="K7" s="1150"/>
      <c r="L7" s="1148"/>
    </row>
    <row r="8" spans="2:15" x14ac:dyDescent="0.2">
      <c r="B8" s="78" t="s">
        <v>270</v>
      </c>
      <c r="C8" s="79"/>
      <c r="D8" s="80"/>
      <c r="E8" s="81">
        <f t="shared" ref="E8:L8" si="0">SUM(E4:E7)</f>
        <v>0</v>
      </c>
      <c r="F8" s="82">
        <f t="shared" si="0"/>
        <v>0</v>
      </c>
      <c r="G8" s="82">
        <f t="shared" si="0"/>
        <v>0</v>
      </c>
      <c r="H8" s="83">
        <f t="shared" si="0"/>
        <v>0</v>
      </c>
      <c r="I8" s="81">
        <f t="shared" si="0"/>
        <v>0</v>
      </c>
      <c r="J8" s="83">
        <f t="shared" si="0"/>
        <v>0</v>
      </c>
      <c r="K8" s="81">
        <f t="shared" si="0"/>
        <v>0</v>
      </c>
      <c r="L8" s="83">
        <f t="shared" si="0"/>
        <v>0</v>
      </c>
    </row>
    <row r="9" spans="2:15" x14ac:dyDescent="0.2">
      <c r="B9" s="25"/>
      <c r="C9" s="13" t="s">
        <v>271</v>
      </c>
      <c r="D9" s="14"/>
      <c r="E9" s="15"/>
      <c r="F9" s="16"/>
      <c r="G9" s="16"/>
      <c r="H9" s="17"/>
      <c r="I9" s="15"/>
      <c r="J9" s="17"/>
      <c r="K9" s="15">
        <v>0</v>
      </c>
      <c r="L9" s="17">
        <v>0</v>
      </c>
    </row>
    <row r="10" spans="2:15" x14ac:dyDescent="0.2">
      <c r="B10" s="12"/>
      <c r="C10" s="13" t="s">
        <v>272</v>
      </c>
      <c r="D10" s="14"/>
      <c r="E10" s="15"/>
      <c r="F10" s="16"/>
      <c r="G10" s="16"/>
      <c r="H10" s="17"/>
      <c r="I10" s="15"/>
      <c r="J10" s="17"/>
      <c r="K10" s="15">
        <v>0</v>
      </c>
      <c r="L10" s="17">
        <v>0</v>
      </c>
    </row>
    <row r="11" spans="2:15" x14ac:dyDescent="0.2">
      <c r="B11" s="12"/>
      <c r="C11" s="13" t="s">
        <v>273</v>
      </c>
      <c r="D11" s="14"/>
      <c r="E11" s="15"/>
      <c r="F11" s="16"/>
      <c r="G11" s="16"/>
      <c r="H11" s="17"/>
      <c r="I11" s="15"/>
      <c r="J11" s="17"/>
      <c r="K11" s="15">
        <v>0</v>
      </c>
      <c r="L11" s="17">
        <v>0</v>
      </c>
    </row>
    <row r="12" spans="2:15" x14ac:dyDescent="0.2">
      <c r="B12" s="84" t="s">
        <v>274</v>
      </c>
      <c r="C12" s="85"/>
      <c r="D12" s="86"/>
      <c r="E12" s="87">
        <f t="shared" ref="E12:L12" si="1">SUM(E8:E11)</f>
        <v>0</v>
      </c>
      <c r="F12" s="88">
        <f t="shared" si="1"/>
        <v>0</v>
      </c>
      <c r="G12" s="88">
        <f t="shared" si="1"/>
        <v>0</v>
      </c>
      <c r="H12" s="89">
        <f t="shared" si="1"/>
        <v>0</v>
      </c>
      <c r="I12" s="87">
        <f t="shared" si="1"/>
        <v>0</v>
      </c>
      <c r="J12" s="89">
        <f t="shared" si="1"/>
        <v>0</v>
      </c>
      <c r="K12" s="87">
        <f t="shared" si="1"/>
        <v>0</v>
      </c>
      <c r="L12" s="89">
        <f t="shared" si="1"/>
        <v>0</v>
      </c>
    </row>
    <row r="13" spans="2:15" x14ac:dyDescent="0.2">
      <c r="B13" s="26"/>
      <c r="C13" s="13" t="s">
        <v>275</v>
      </c>
      <c r="D13" s="14"/>
      <c r="E13" s="15"/>
      <c r="F13" s="16"/>
      <c r="G13" s="16"/>
      <c r="H13" s="17"/>
      <c r="I13" s="21"/>
      <c r="J13" s="22"/>
      <c r="K13" s="15">
        <v>0</v>
      </c>
      <c r="L13" s="17">
        <v>0</v>
      </c>
      <c r="N13" s="27" t="s">
        <v>276</v>
      </c>
    </row>
    <row r="14" spans="2:15" x14ac:dyDescent="0.2">
      <c r="B14" s="28"/>
      <c r="C14" s="13" t="s">
        <v>277</v>
      </c>
      <c r="D14" s="14"/>
      <c r="E14" s="15"/>
      <c r="F14" s="16"/>
      <c r="G14" s="16"/>
      <c r="H14" s="17"/>
      <c r="I14" s="21"/>
      <c r="J14" s="22"/>
      <c r="K14" s="15">
        <v>0</v>
      </c>
      <c r="L14" s="17">
        <v>0</v>
      </c>
    </row>
    <row r="15" spans="2:15" x14ac:dyDescent="0.2">
      <c r="B15" s="90" t="s">
        <v>278</v>
      </c>
      <c r="C15" s="91"/>
      <c r="D15" s="92"/>
      <c r="E15" s="87">
        <f t="shared" ref="E15:L15" si="2">SUM(E13:E14)</f>
        <v>0</v>
      </c>
      <c r="F15" s="88">
        <f t="shared" si="2"/>
        <v>0</v>
      </c>
      <c r="G15" s="88">
        <f t="shared" si="2"/>
        <v>0</v>
      </c>
      <c r="H15" s="89">
        <f t="shared" si="2"/>
        <v>0</v>
      </c>
      <c r="I15" s="87">
        <f t="shared" si="2"/>
        <v>0</v>
      </c>
      <c r="J15" s="89">
        <f t="shared" si="2"/>
        <v>0</v>
      </c>
      <c r="K15" s="87">
        <f t="shared" si="2"/>
        <v>0</v>
      </c>
      <c r="L15" s="89">
        <f t="shared" si="2"/>
        <v>0</v>
      </c>
    </row>
    <row r="16" spans="2:15" x14ac:dyDescent="0.2">
      <c r="B16" s="1683"/>
      <c r="C16" s="104" t="s">
        <v>279</v>
      </c>
      <c r="D16" s="105"/>
      <c r="E16" s="101">
        <f t="shared" ref="E16:L16" si="3">+E15-E20</f>
        <v>0</v>
      </c>
      <c r="F16" s="102">
        <f t="shared" si="3"/>
        <v>0</v>
      </c>
      <c r="G16" s="102">
        <f t="shared" si="3"/>
        <v>0</v>
      </c>
      <c r="H16" s="103">
        <f t="shared" si="3"/>
        <v>0</v>
      </c>
      <c r="I16" s="101">
        <f t="shared" si="3"/>
        <v>0</v>
      </c>
      <c r="J16" s="103">
        <f t="shared" si="3"/>
        <v>0</v>
      </c>
      <c r="K16" s="101">
        <f t="shared" si="3"/>
        <v>0</v>
      </c>
      <c r="L16" s="103">
        <f t="shared" si="3"/>
        <v>0</v>
      </c>
    </row>
    <row r="17" spans="2:25" x14ac:dyDescent="0.2">
      <c r="B17" s="93" t="s">
        <v>280</v>
      </c>
      <c r="C17" s="94"/>
      <c r="D17" s="95"/>
      <c r="E17" s="96">
        <f t="shared" ref="E17:L17" si="4">E12-E15</f>
        <v>0</v>
      </c>
      <c r="F17" s="97">
        <f t="shared" si="4"/>
        <v>0</v>
      </c>
      <c r="G17" s="97">
        <f t="shared" si="4"/>
        <v>0</v>
      </c>
      <c r="H17" s="98">
        <f t="shared" si="4"/>
        <v>0</v>
      </c>
      <c r="I17" s="96">
        <f t="shared" si="4"/>
        <v>0</v>
      </c>
      <c r="J17" s="98">
        <f t="shared" si="4"/>
        <v>0</v>
      </c>
      <c r="K17" s="96">
        <f t="shared" si="4"/>
        <v>0</v>
      </c>
      <c r="L17" s="98">
        <f t="shared" si="4"/>
        <v>0</v>
      </c>
    </row>
    <row r="18" spans="2:25" x14ac:dyDescent="0.2">
      <c r="B18" s="29"/>
      <c r="C18" s="30" t="s">
        <v>281</v>
      </c>
      <c r="D18" s="14"/>
      <c r="E18" s="31">
        <f t="shared" ref="E18:H18" si="5">E8-E13</f>
        <v>0</v>
      </c>
      <c r="F18" s="32">
        <f t="shared" si="5"/>
        <v>0</v>
      </c>
      <c r="G18" s="32">
        <f t="shared" si="5"/>
        <v>0</v>
      </c>
      <c r="H18" s="33">
        <f t="shared" si="5"/>
        <v>0</v>
      </c>
      <c r="I18" s="31">
        <f>+I8-I13</f>
        <v>0</v>
      </c>
      <c r="J18" s="33">
        <f>+J8-J13</f>
        <v>0</v>
      </c>
      <c r="K18" s="31">
        <f>+K8-K13</f>
        <v>0</v>
      </c>
      <c r="L18" s="33">
        <f>+L8-L13</f>
        <v>0</v>
      </c>
    </row>
    <row r="19" spans="2:25" s="2" customFormat="1" x14ac:dyDescent="0.2">
      <c r="B19" s="90" t="s">
        <v>282</v>
      </c>
      <c r="C19" s="91"/>
      <c r="D19" s="92"/>
      <c r="E19" s="87">
        <f t="shared" ref="E19:L19" si="6">E12-E11-E15</f>
        <v>0</v>
      </c>
      <c r="F19" s="88">
        <f t="shared" si="6"/>
        <v>0</v>
      </c>
      <c r="G19" s="88">
        <f t="shared" si="6"/>
        <v>0</v>
      </c>
      <c r="H19" s="89">
        <f t="shared" si="6"/>
        <v>0</v>
      </c>
      <c r="I19" s="87">
        <f t="shared" si="6"/>
        <v>0</v>
      </c>
      <c r="J19" s="89">
        <f t="shared" si="6"/>
        <v>0</v>
      </c>
      <c r="K19" s="87">
        <f t="shared" si="6"/>
        <v>0</v>
      </c>
      <c r="L19" s="89">
        <f t="shared" si="6"/>
        <v>0</v>
      </c>
    </row>
    <row r="20" spans="2:25" x14ac:dyDescent="0.2">
      <c r="B20" s="29"/>
      <c r="C20" s="34" t="s">
        <v>283</v>
      </c>
      <c r="D20" s="14"/>
      <c r="E20" s="35">
        <v>0</v>
      </c>
      <c r="F20" s="36">
        <v>0</v>
      </c>
      <c r="G20" s="36">
        <v>0</v>
      </c>
      <c r="H20" s="37">
        <v>0</v>
      </c>
      <c r="I20" s="35">
        <v>0</v>
      </c>
      <c r="J20" s="37">
        <v>0</v>
      </c>
      <c r="K20" s="35">
        <v>0</v>
      </c>
      <c r="L20" s="37">
        <v>0</v>
      </c>
    </row>
    <row r="21" spans="2:25" s="2" customFormat="1" x14ac:dyDescent="0.2">
      <c r="B21" s="1682"/>
      <c r="C21" s="99" t="s">
        <v>284</v>
      </c>
      <c r="D21" s="100"/>
      <c r="E21" s="101">
        <f>+E17+E20-E11</f>
        <v>0</v>
      </c>
      <c r="F21" s="102">
        <f t="shared" ref="F21:L21" si="7">+F19+F20</f>
        <v>0</v>
      </c>
      <c r="G21" s="102">
        <f t="shared" si="7"/>
        <v>0</v>
      </c>
      <c r="H21" s="103">
        <f t="shared" si="7"/>
        <v>0</v>
      </c>
      <c r="I21" s="101">
        <f t="shared" si="7"/>
        <v>0</v>
      </c>
      <c r="J21" s="103">
        <f t="shared" si="7"/>
        <v>0</v>
      </c>
      <c r="K21" s="101">
        <f t="shared" si="7"/>
        <v>0</v>
      </c>
      <c r="L21" s="103">
        <f t="shared" si="7"/>
        <v>0</v>
      </c>
      <c r="N21" s="2069" t="s">
        <v>285</v>
      </c>
      <c r="O21" s="2069"/>
      <c r="P21" s="2069"/>
      <c r="Q21" s="2069"/>
      <c r="R21" s="2069"/>
      <c r="S21" s="2069"/>
      <c r="T21" s="2069"/>
      <c r="U21" s="2069"/>
      <c r="V21" s="2069"/>
      <c r="W21" s="2069"/>
      <c r="X21" s="2069"/>
      <c r="Y21" s="2069"/>
    </row>
    <row r="22" spans="2:25" x14ac:dyDescent="0.2">
      <c r="B22" s="39" t="s">
        <v>286</v>
      </c>
      <c r="C22" s="40"/>
      <c r="D22" s="41"/>
      <c r="E22" s="42" t="e">
        <f t="shared" ref="E22:L22" si="8">+E4/E12</f>
        <v>#DIV/0!</v>
      </c>
      <c r="F22" s="43" t="e">
        <f t="shared" si="8"/>
        <v>#DIV/0!</v>
      </c>
      <c r="G22" s="43" t="e">
        <f t="shared" si="8"/>
        <v>#DIV/0!</v>
      </c>
      <c r="H22" s="44" t="e">
        <f t="shared" si="8"/>
        <v>#DIV/0!</v>
      </c>
      <c r="I22" s="42" t="e">
        <f t="shared" si="8"/>
        <v>#DIV/0!</v>
      </c>
      <c r="J22" s="44" t="e">
        <f t="shared" si="8"/>
        <v>#DIV/0!</v>
      </c>
      <c r="K22" s="42" t="e">
        <f t="shared" si="8"/>
        <v>#DIV/0!</v>
      </c>
      <c r="L22" s="44" t="e">
        <f t="shared" si="8"/>
        <v>#DIV/0!</v>
      </c>
      <c r="N22" s="2069"/>
      <c r="O22" s="2069"/>
      <c r="P22" s="2069"/>
      <c r="Q22" s="2069"/>
      <c r="R22" s="2069"/>
      <c r="S22" s="2069"/>
      <c r="T22" s="2069"/>
      <c r="U22" s="2069"/>
      <c r="V22" s="2069"/>
      <c r="W22" s="2069"/>
      <c r="X22" s="2069"/>
      <c r="Y22" s="2069"/>
    </row>
    <row r="23" spans="2:25" x14ac:dyDescent="0.2">
      <c r="B23" s="38" t="s">
        <v>287</v>
      </c>
      <c r="C23" s="45"/>
      <c r="D23" s="46"/>
      <c r="E23" s="47" t="e">
        <f t="shared" ref="E23:L23" si="9">+E6/E12</f>
        <v>#DIV/0!</v>
      </c>
      <c r="F23" s="48" t="e">
        <f t="shared" si="9"/>
        <v>#DIV/0!</v>
      </c>
      <c r="G23" s="48" t="e">
        <f t="shared" si="9"/>
        <v>#DIV/0!</v>
      </c>
      <c r="H23" s="49" t="e">
        <f t="shared" si="9"/>
        <v>#DIV/0!</v>
      </c>
      <c r="I23" s="47" t="e">
        <f t="shared" si="9"/>
        <v>#DIV/0!</v>
      </c>
      <c r="J23" s="49" t="e">
        <f t="shared" si="9"/>
        <v>#DIV/0!</v>
      </c>
      <c r="K23" s="47" t="e">
        <f t="shared" si="9"/>
        <v>#DIV/0!</v>
      </c>
      <c r="L23" s="49" t="e">
        <f t="shared" si="9"/>
        <v>#DIV/0!</v>
      </c>
      <c r="N23" s="2069"/>
      <c r="O23" s="2069"/>
      <c r="P23" s="2069"/>
      <c r="Q23" s="2069"/>
      <c r="R23" s="2069"/>
      <c r="S23" s="2069"/>
      <c r="T23" s="2069"/>
      <c r="U23" s="2069"/>
      <c r="V23" s="2069"/>
      <c r="W23" s="2069"/>
      <c r="X23" s="2069"/>
      <c r="Y23" s="2069"/>
    </row>
    <row r="24" spans="2:25" x14ac:dyDescent="0.2">
      <c r="B24" s="38" t="s">
        <v>288</v>
      </c>
      <c r="C24" s="45"/>
      <c r="D24" s="46"/>
      <c r="E24" s="50" t="e">
        <f t="shared" ref="E24:L24" si="10">E8/E13</f>
        <v>#DIV/0!</v>
      </c>
      <c r="F24" s="51" t="e">
        <f t="shared" si="10"/>
        <v>#DIV/0!</v>
      </c>
      <c r="G24" s="51" t="e">
        <f t="shared" si="10"/>
        <v>#DIV/0!</v>
      </c>
      <c r="H24" s="52" t="e">
        <f t="shared" si="10"/>
        <v>#DIV/0!</v>
      </c>
      <c r="I24" s="50" t="e">
        <f t="shared" si="10"/>
        <v>#DIV/0!</v>
      </c>
      <c r="J24" s="52" t="e">
        <f t="shared" si="10"/>
        <v>#DIV/0!</v>
      </c>
      <c r="K24" s="50" t="e">
        <f t="shared" si="10"/>
        <v>#DIV/0!</v>
      </c>
      <c r="L24" s="52" t="e">
        <f t="shared" si="10"/>
        <v>#DIV/0!</v>
      </c>
      <c r="N24" s="2069"/>
      <c r="O24" s="2069"/>
      <c r="P24" s="2069"/>
      <c r="Q24" s="2069"/>
      <c r="R24" s="2069"/>
      <c r="S24" s="2069"/>
      <c r="T24" s="2069"/>
      <c r="U24" s="2069"/>
      <c r="V24" s="2069"/>
      <c r="W24" s="2069"/>
      <c r="X24" s="2069"/>
      <c r="Y24" s="2069"/>
    </row>
    <row r="25" spans="2:25" x14ac:dyDescent="0.2">
      <c r="B25" s="38" t="s">
        <v>289</v>
      </c>
      <c r="C25" s="45"/>
      <c r="D25" s="46"/>
      <c r="E25" s="53" t="e">
        <f t="shared" ref="E25:L25" si="11">E15/E19</f>
        <v>#DIV/0!</v>
      </c>
      <c r="F25" s="54" t="e">
        <f t="shared" si="11"/>
        <v>#DIV/0!</v>
      </c>
      <c r="G25" s="54" t="e">
        <f t="shared" si="11"/>
        <v>#DIV/0!</v>
      </c>
      <c r="H25" s="55" t="e">
        <f t="shared" si="11"/>
        <v>#DIV/0!</v>
      </c>
      <c r="I25" s="53" t="e">
        <f t="shared" si="11"/>
        <v>#DIV/0!</v>
      </c>
      <c r="J25" s="55" t="e">
        <f t="shared" si="11"/>
        <v>#DIV/0!</v>
      </c>
      <c r="K25" s="53" t="e">
        <f t="shared" si="11"/>
        <v>#DIV/0!</v>
      </c>
      <c r="L25" s="55" t="e">
        <f t="shared" si="11"/>
        <v>#DIV/0!</v>
      </c>
    </row>
    <row r="26" spans="2:25" ht="13.5" thickBot="1" x14ac:dyDescent="0.25">
      <c r="B26" s="56" t="s">
        <v>290</v>
      </c>
      <c r="C26" s="57"/>
      <c r="D26" s="58"/>
      <c r="E26" s="59" t="e">
        <f t="shared" ref="E26:L27" si="12">+E16/E21</f>
        <v>#DIV/0!</v>
      </c>
      <c r="F26" s="60" t="e">
        <f t="shared" si="12"/>
        <v>#DIV/0!</v>
      </c>
      <c r="G26" s="60" t="e">
        <f t="shared" si="12"/>
        <v>#DIV/0!</v>
      </c>
      <c r="H26" s="61" t="e">
        <f t="shared" si="12"/>
        <v>#DIV/0!</v>
      </c>
      <c r="I26" s="59" t="e">
        <f t="shared" si="12"/>
        <v>#DIV/0!</v>
      </c>
      <c r="J26" s="61" t="e">
        <f t="shared" si="12"/>
        <v>#DIV/0!</v>
      </c>
      <c r="K26" s="59" t="e">
        <f t="shared" si="12"/>
        <v>#DIV/0!</v>
      </c>
      <c r="L26" s="61" t="e">
        <f t="shared" si="12"/>
        <v>#DIV/0!</v>
      </c>
    </row>
    <row r="27" spans="2:25" ht="13.5" thickBot="1" x14ac:dyDescent="0.25">
      <c r="B27" s="62" t="s">
        <v>291</v>
      </c>
      <c r="C27" s="63"/>
      <c r="D27" s="58"/>
      <c r="E27" s="64" t="e">
        <f t="shared" si="12"/>
        <v>#DIV/0!</v>
      </c>
      <c r="F27" s="65" t="e">
        <f t="shared" ref="F27:L27" si="13">+F15/F17</f>
        <v>#DIV/0!</v>
      </c>
      <c r="G27" s="65" t="e">
        <f t="shared" si="13"/>
        <v>#DIV/0!</v>
      </c>
      <c r="H27" s="66" t="e">
        <f t="shared" si="13"/>
        <v>#DIV/0!</v>
      </c>
      <c r="I27" s="64" t="e">
        <f t="shared" si="13"/>
        <v>#DIV/0!</v>
      </c>
      <c r="J27" s="66" t="e">
        <f t="shared" si="13"/>
        <v>#DIV/0!</v>
      </c>
      <c r="K27" s="64" t="e">
        <f t="shared" si="13"/>
        <v>#DIV/0!</v>
      </c>
      <c r="L27" s="66" t="e">
        <f t="shared" si="13"/>
        <v>#DIV/0!</v>
      </c>
    </row>
    <row r="28" spans="2:25" x14ac:dyDescent="0.2">
      <c r="B28" s="67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25" s="9" customFormat="1" ht="12" x14ac:dyDescent="0.2">
      <c r="B29" s="68" t="s">
        <v>292</v>
      </c>
      <c r="C29" s="68"/>
      <c r="D29" s="68"/>
      <c r="E29" s="69">
        <f>+E17-C17</f>
        <v>0</v>
      </c>
      <c r="F29" s="69">
        <f>+F17-E17</f>
        <v>0</v>
      </c>
      <c r="G29" s="69">
        <f>+G17-F17</f>
        <v>0</v>
      </c>
      <c r="H29" s="69">
        <f>+H17-G17</f>
        <v>0</v>
      </c>
      <c r="I29" s="69">
        <f>+I17-G17</f>
        <v>0</v>
      </c>
      <c r="J29" s="69">
        <f>+J17-I17</f>
        <v>0</v>
      </c>
      <c r="K29" s="69">
        <f>+K17-J17</f>
        <v>0</v>
      </c>
      <c r="L29" s="69">
        <f>+L17-K17</f>
        <v>0</v>
      </c>
      <c r="M29" s="68"/>
    </row>
    <row r="30" spans="2:25" s="9" customFormat="1" ht="12" x14ac:dyDescent="0.2">
      <c r="B30" s="68"/>
      <c r="C30" s="68" t="s">
        <v>293</v>
      </c>
      <c r="D30" s="68"/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68"/>
    </row>
    <row r="31" spans="2:25" s="9" customFormat="1" ht="12" x14ac:dyDescent="0.2">
      <c r="B31" s="68"/>
      <c r="C31" s="68" t="s">
        <v>294</v>
      </c>
      <c r="D31" s="68"/>
      <c r="E31" s="69">
        <v>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8"/>
    </row>
    <row r="32" spans="2:25" s="9" customFormat="1" ht="12" x14ac:dyDescent="0.2">
      <c r="B32" s="68"/>
      <c r="C32" s="68" t="s">
        <v>295</v>
      </c>
      <c r="D32" s="68"/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8"/>
    </row>
    <row r="33" spans="2:13" s="9" customFormat="1" ht="12" x14ac:dyDescent="0.2">
      <c r="B33" s="68"/>
      <c r="C33" s="68" t="s">
        <v>24</v>
      </c>
      <c r="D33" s="68"/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68"/>
    </row>
    <row r="34" spans="2:13" s="9" customFormat="1" ht="12" x14ac:dyDescent="0.2">
      <c r="B34" s="68"/>
      <c r="C34" s="68"/>
      <c r="D34" s="68"/>
      <c r="E34" s="69">
        <f t="shared" ref="E34:L34" si="14">E29-SUM(E30:E33)</f>
        <v>0</v>
      </c>
      <c r="F34" s="69">
        <f t="shared" si="14"/>
        <v>0</v>
      </c>
      <c r="G34" s="69">
        <f t="shared" si="14"/>
        <v>0</v>
      </c>
      <c r="H34" s="69">
        <f t="shared" ref="H34" si="15">H29-SUM(H30:H33)</f>
        <v>0</v>
      </c>
      <c r="I34" s="69">
        <f t="shared" si="14"/>
        <v>0</v>
      </c>
      <c r="J34" s="69">
        <f t="shared" si="14"/>
        <v>0</v>
      </c>
      <c r="K34" s="69">
        <f t="shared" si="14"/>
        <v>0</v>
      </c>
      <c r="L34" s="69">
        <f t="shared" si="14"/>
        <v>0</v>
      </c>
      <c r="M34" s="68"/>
    </row>
    <row r="35" spans="2:13" s="9" customFormat="1" ht="12" x14ac:dyDescent="0.2"/>
    <row r="36" spans="2:13" ht="15" x14ac:dyDescent="0.2">
      <c r="B36" s="72" t="s">
        <v>296</v>
      </c>
      <c r="C36" s="6"/>
      <c r="D36" s="6"/>
      <c r="E36" s="6"/>
      <c r="F36" s="6"/>
    </row>
    <row r="37" spans="2:13" ht="15" x14ac:dyDescent="0.2">
      <c r="B37" s="73" t="s">
        <v>297</v>
      </c>
    </row>
    <row r="38" spans="2:13" ht="15" x14ac:dyDescent="0.2">
      <c r="B38" s="73" t="s">
        <v>298</v>
      </c>
    </row>
    <row r="39" spans="2:13" ht="15" x14ac:dyDescent="0.2">
      <c r="B39" s="74" t="s">
        <v>299</v>
      </c>
    </row>
    <row r="40" spans="2:13" ht="15" x14ac:dyDescent="0.2">
      <c r="B40" s="74" t="s">
        <v>300</v>
      </c>
    </row>
    <row r="41" spans="2:13" ht="15" x14ac:dyDescent="0.2">
      <c r="B41" s="74" t="s">
        <v>301</v>
      </c>
    </row>
    <row r="42" spans="2:13" ht="15" x14ac:dyDescent="0.2">
      <c r="B42" s="74" t="s">
        <v>302</v>
      </c>
    </row>
    <row r="43" spans="2:13" ht="15" x14ac:dyDescent="0.2">
      <c r="B43" s="74" t="s">
        <v>303</v>
      </c>
    </row>
    <row r="44" spans="2:13" ht="15" x14ac:dyDescent="0.2">
      <c r="B44" s="74" t="s">
        <v>304</v>
      </c>
    </row>
    <row r="45" spans="2:13" ht="15" x14ac:dyDescent="0.2">
      <c r="B45" s="74" t="s">
        <v>305</v>
      </c>
    </row>
    <row r="46" spans="2:13" ht="15" x14ac:dyDescent="0.2">
      <c r="B46" s="73" t="s">
        <v>306</v>
      </c>
    </row>
    <row r="47" spans="2:13" ht="15" x14ac:dyDescent="0.2">
      <c r="B47" s="73" t="s">
        <v>307</v>
      </c>
    </row>
    <row r="48" spans="2:13" ht="15" x14ac:dyDescent="0.2">
      <c r="B48" s="73"/>
    </row>
    <row r="49" spans="2:2" ht="15" x14ac:dyDescent="0.2">
      <c r="B49" s="73" t="s">
        <v>308</v>
      </c>
    </row>
    <row r="50" spans="2:2" ht="15" x14ac:dyDescent="0.2">
      <c r="B50" s="73" t="s">
        <v>309</v>
      </c>
    </row>
  </sheetData>
  <sheetProtection formatCells="0" formatColumns="0" formatRows="0" insertColumns="0" insertRows="0"/>
  <mergeCells count="3">
    <mergeCell ref="D2:D3"/>
    <mergeCell ref="B3:C3"/>
    <mergeCell ref="N21:Y24"/>
  </mergeCells>
  <pageMargins left="0.7" right="0.7" top="0.75" bottom="0.75" header="0.3" footer="0.3"/>
  <pageSetup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2BF1-E9CD-4403-BF8D-BBA569FBC001}">
  <sheetPr>
    <pageSetUpPr fitToPage="1"/>
  </sheetPr>
  <dimension ref="B1:AE45"/>
  <sheetViews>
    <sheetView showGridLines="0" zoomScaleNormal="100" workbookViewId="0"/>
  </sheetViews>
  <sheetFormatPr defaultColWidth="8.85546875" defaultRowHeight="12" x14ac:dyDescent="0.25"/>
  <cols>
    <col min="1" max="1" width="1.7109375" style="1189" customWidth="1"/>
    <col min="2" max="2" width="24.140625" style="1189" bestFit="1" customWidth="1"/>
    <col min="3" max="3" width="7.7109375" style="1189" customWidth="1"/>
    <col min="4" max="4" width="9.7109375" style="1217" customWidth="1"/>
    <col min="5" max="20" width="6.7109375" style="1217" customWidth="1"/>
    <col min="21" max="27" width="6.7109375" style="1189" customWidth="1"/>
    <col min="28" max="28" width="8.85546875" style="1189"/>
    <col min="29" max="29" width="9.140625" style="1189" bestFit="1" customWidth="1"/>
    <col min="30" max="31" width="12.42578125" style="1189" bestFit="1" customWidth="1"/>
    <col min="32" max="16384" width="8.85546875" style="1189"/>
  </cols>
  <sheetData>
    <row r="1" spans="2:31" ht="9.9499999999999993" customHeight="1" thickBot="1" x14ac:dyDescent="0.3"/>
    <row r="2" spans="2:31" s="150" customFormat="1" ht="15" customHeight="1" x14ac:dyDescent="0.25">
      <c r="B2" s="2072" t="s">
        <v>310</v>
      </c>
      <c r="C2" s="2074" t="s">
        <v>311</v>
      </c>
      <c r="D2" s="1516" t="s">
        <v>312</v>
      </c>
      <c r="E2" s="2072" t="s">
        <v>313</v>
      </c>
      <c r="F2" s="2070"/>
      <c r="G2" s="2071"/>
      <c r="H2" s="2072" t="s">
        <v>314</v>
      </c>
      <c r="I2" s="2070"/>
      <c r="J2" s="2071"/>
      <c r="K2" s="2072" t="s">
        <v>315</v>
      </c>
      <c r="L2" s="2070"/>
      <c r="M2" s="2071"/>
      <c r="N2" s="2072" t="s">
        <v>316</v>
      </c>
      <c r="O2" s="2070"/>
      <c r="P2" s="2071"/>
      <c r="Q2" s="2072" t="s">
        <v>317</v>
      </c>
      <c r="R2" s="2070"/>
      <c r="S2" s="2070"/>
      <c r="T2" s="2071"/>
      <c r="U2" s="2070" t="s">
        <v>318</v>
      </c>
      <c r="V2" s="2070"/>
      <c r="W2" s="2070"/>
      <c r="X2" s="2071"/>
      <c r="Y2" s="1387"/>
      <c r="Z2" s="1516" t="s">
        <v>319</v>
      </c>
      <c r="AA2" s="1517"/>
    </row>
    <row r="3" spans="2:31" s="150" customFormat="1" ht="15" customHeight="1" x14ac:dyDescent="0.25">
      <c r="B3" s="2073"/>
      <c r="C3" s="2075"/>
      <c r="D3" s="1518" t="s">
        <v>320</v>
      </c>
      <c r="E3" s="1508" t="s">
        <v>321</v>
      </c>
      <c r="F3" s="1518" t="s">
        <v>322</v>
      </c>
      <c r="G3" s="1519" t="s">
        <v>323</v>
      </c>
      <c r="H3" s="1508" t="s">
        <v>321</v>
      </c>
      <c r="I3" s="1518" t="s">
        <v>322</v>
      </c>
      <c r="J3" s="1519" t="s">
        <v>323</v>
      </c>
      <c r="K3" s="1508" t="s">
        <v>321</v>
      </c>
      <c r="L3" s="1518" t="s">
        <v>322</v>
      </c>
      <c r="M3" s="1519" t="s">
        <v>323</v>
      </c>
      <c r="N3" s="1508" t="s">
        <v>321</v>
      </c>
      <c r="O3" s="1518" t="s">
        <v>322</v>
      </c>
      <c r="P3" s="1519" t="s">
        <v>323</v>
      </c>
      <c r="Q3" s="1508" t="s">
        <v>324</v>
      </c>
      <c r="R3" s="1518" t="s">
        <v>111</v>
      </c>
      <c r="S3" s="1518" t="s">
        <v>120</v>
      </c>
      <c r="T3" s="1519" t="s">
        <v>323</v>
      </c>
      <c r="U3" s="1518" t="s">
        <v>324</v>
      </c>
      <c r="V3" s="1518" t="s">
        <v>111</v>
      </c>
      <c r="W3" s="1518" t="s">
        <v>120</v>
      </c>
      <c r="X3" s="1519" t="s">
        <v>323</v>
      </c>
      <c r="Y3" s="1508" t="s">
        <v>325</v>
      </c>
      <c r="Z3" s="1518" t="s">
        <v>326</v>
      </c>
      <c r="AA3" s="1519" t="s">
        <v>323</v>
      </c>
    </row>
    <row r="4" spans="2:31" ht="15" customHeight="1" x14ac:dyDescent="0.25">
      <c r="B4" s="1520"/>
      <c r="C4" s="1521"/>
      <c r="D4" s="1572"/>
      <c r="E4" s="1524"/>
      <c r="F4" s="1377"/>
      <c r="G4" s="1523">
        <f>SUM(E4:F4)</f>
        <v>0</v>
      </c>
      <c r="H4" s="1524"/>
      <c r="I4" s="1377"/>
      <c r="J4" s="1523">
        <f>SUM(H4:I4)</f>
        <v>0</v>
      </c>
      <c r="K4" s="1524"/>
      <c r="L4" s="1377"/>
      <c r="M4" s="1523">
        <f>SUM(K4:L4)</f>
        <v>0</v>
      </c>
      <c r="N4" s="1525">
        <f t="shared" ref="N4:O5" si="0">+E4+H4+K4</f>
        <v>0</v>
      </c>
      <c r="O4" s="1526">
        <f t="shared" si="0"/>
        <v>0</v>
      </c>
      <c r="P4" s="1523">
        <f t="shared" ref="P4:P25" si="1">SUM(N4:O4)</f>
        <v>0</v>
      </c>
      <c r="Q4" s="1524"/>
      <c r="R4" s="1522"/>
      <c r="S4" s="1377"/>
      <c r="T4" s="1523">
        <f>SUM(Q4:S4)</f>
        <v>0</v>
      </c>
      <c r="U4" s="1522"/>
      <c r="V4" s="1522"/>
      <c r="W4" s="1377"/>
      <c r="X4" s="1523">
        <f>SUM(U4:W4)</f>
        <v>0</v>
      </c>
      <c r="Y4" s="1525">
        <f>+T4</f>
        <v>0</v>
      </c>
      <c r="Z4" s="1526">
        <f>+X4</f>
        <v>0</v>
      </c>
      <c r="AA4" s="1523">
        <f t="shared" ref="AA4:AA12" si="2">+T4+X4</f>
        <v>0</v>
      </c>
      <c r="AD4" s="1528"/>
      <c r="AE4" s="1528"/>
    </row>
    <row r="5" spans="2:31" ht="15" customHeight="1" x14ac:dyDescent="0.25">
      <c r="B5" s="1529"/>
      <c r="C5" s="1530"/>
      <c r="D5" s="1577"/>
      <c r="E5" s="1534"/>
      <c r="F5" s="1532"/>
      <c r="G5" s="1533">
        <f t="shared" ref="G5:G12" si="3">SUM(E5:F5)</f>
        <v>0</v>
      </c>
      <c r="H5" s="1534"/>
      <c r="I5" s="1532"/>
      <c r="J5" s="1533">
        <f t="shared" ref="J5:J12" si="4">SUM(H5:I5)</f>
        <v>0</v>
      </c>
      <c r="K5" s="1534"/>
      <c r="L5" s="1532"/>
      <c r="M5" s="1533">
        <f t="shared" ref="M5:M12" si="5">SUM(K5:L5)</f>
        <v>0</v>
      </c>
      <c r="N5" s="1535">
        <f t="shared" si="0"/>
        <v>0</v>
      </c>
      <c r="O5" s="1536">
        <f t="shared" si="0"/>
        <v>0</v>
      </c>
      <c r="P5" s="1533">
        <f t="shared" si="1"/>
        <v>0</v>
      </c>
      <c r="Q5" s="1534"/>
      <c r="R5" s="1531"/>
      <c r="S5" s="1532"/>
      <c r="T5" s="1533">
        <f t="shared" ref="T5:T13" si="6">SUM(Q5:S5)</f>
        <v>0</v>
      </c>
      <c r="U5" s="1531"/>
      <c r="V5" s="1531"/>
      <c r="W5" s="1532"/>
      <c r="X5" s="1533">
        <f t="shared" ref="X5:X25" si="7">SUM(U5:W5)</f>
        <v>0</v>
      </c>
      <c r="Y5" s="1535">
        <f t="shared" ref="Y5:Y25" si="8">+T5</f>
        <v>0</v>
      </c>
      <c r="Z5" s="1536">
        <f t="shared" ref="Z5:Z25" si="9">+X5</f>
        <v>0</v>
      </c>
      <c r="AA5" s="1533">
        <f t="shared" si="2"/>
        <v>0</v>
      </c>
      <c r="AD5" s="1528"/>
      <c r="AE5" s="1528"/>
    </row>
    <row r="6" spans="2:31" ht="15" customHeight="1" x14ac:dyDescent="0.25">
      <c r="B6" s="1529"/>
      <c r="C6" s="1530"/>
      <c r="D6" s="1577"/>
      <c r="E6" s="1534"/>
      <c r="F6" s="1532"/>
      <c r="G6" s="1533">
        <f t="shared" si="3"/>
        <v>0</v>
      </c>
      <c r="H6" s="1534"/>
      <c r="I6" s="1532"/>
      <c r="J6" s="1533">
        <f t="shared" si="4"/>
        <v>0</v>
      </c>
      <c r="K6" s="1534"/>
      <c r="L6" s="1532"/>
      <c r="M6" s="1533">
        <f t="shared" si="5"/>
        <v>0</v>
      </c>
      <c r="N6" s="1535">
        <f>+E6+H6+K6</f>
        <v>0</v>
      </c>
      <c r="O6" s="1536">
        <f>+F6+I6+L6</f>
        <v>0</v>
      </c>
      <c r="P6" s="1533">
        <f t="shared" si="1"/>
        <v>0</v>
      </c>
      <c r="Q6" s="1534"/>
      <c r="R6" s="1531"/>
      <c r="S6" s="1532"/>
      <c r="T6" s="1533">
        <f t="shared" si="6"/>
        <v>0</v>
      </c>
      <c r="U6" s="1531"/>
      <c r="V6" s="1531"/>
      <c r="W6" s="1532"/>
      <c r="X6" s="1533">
        <f t="shared" si="7"/>
        <v>0</v>
      </c>
      <c r="Y6" s="1535">
        <f t="shared" si="8"/>
        <v>0</v>
      </c>
      <c r="Z6" s="1536">
        <f t="shared" si="9"/>
        <v>0</v>
      </c>
      <c r="AA6" s="1533">
        <f t="shared" si="2"/>
        <v>0</v>
      </c>
      <c r="AD6" s="1528"/>
      <c r="AE6" s="1528"/>
    </row>
    <row r="7" spans="2:31" ht="15" customHeight="1" x14ac:dyDescent="0.25">
      <c r="B7" s="1529"/>
      <c r="C7" s="1530"/>
      <c r="D7" s="1577"/>
      <c r="E7" s="1534"/>
      <c r="F7" s="1532"/>
      <c r="G7" s="1533">
        <f t="shared" si="3"/>
        <v>0</v>
      </c>
      <c r="H7" s="1534"/>
      <c r="I7" s="1532"/>
      <c r="J7" s="1533">
        <f t="shared" si="4"/>
        <v>0</v>
      </c>
      <c r="K7" s="1534"/>
      <c r="L7" s="1532"/>
      <c r="M7" s="1533">
        <f t="shared" si="5"/>
        <v>0</v>
      </c>
      <c r="N7" s="1535">
        <f t="shared" ref="N7:O22" si="10">+E7+H7+K7</f>
        <v>0</v>
      </c>
      <c r="O7" s="1536">
        <f t="shared" si="10"/>
        <v>0</v>
      </c>
      <c r="P7" s="1533">
        <f t="shared" si="1"/>
        <v>0</v>
      </c>
      <c r="Q7" s="1534"/>
      <c r="R7" s="1531"/>
      <c r="S7" s="1532"/>
      <c r="T7" s="1533">
        <f t="shared" si="6"/>
        <v>0</v>
      </c>
      <c r="U7" s="1531"/>
      <c r="V7" s="1531"/>
      <c r="W7" s="1532"/>
      <c r="X7" s="1533">
        <f t="shared" si="7"/>
        <v>0</v>
      </c>
      <c r="Y7" s="1535">
        <f t="shared" si="8"/>
        <v>0</v>
      </c>
      <c r="Z7" s="1536">
        <f t="shared" si="9"/>
        <v>0</v>
      </c>
      <c r="AA7" s="1533">
        <f t="shared" si="2"/>
        <v>0</v>
      </c>
      <c r="AD7" s="1528"/>
      <c r="AE7" s="1528"/>
    </row>
    <row r="8" spans="2:31" ht="15" customHeight="1" thickBot="1" x14ac:dyDescent="0.3">
      <c r="B8" s="1529"/>
      <c r="C8" s="1530"/>
      <c r="D8" s="1577"/>
      <c r="E8" s="1534"/>
      <c r="F8" s="1532"/>
      <c r="G8" s="1533">
        <f t="shared" si="3"/>
        <v>0</v>
      </c>
      <c r="H8" s="1534"/>
      <c r="I8" s="1532"/>
      <c r="J8" s="1533">
        <f t="shared" si="4"/>
        <v>0</v>
      </c>
      <c r="K8" s="1534"/>
      <c r="L8" s="1532"/>
      <c r="M8" s="1533">
        <f t="shared" si="5"/>
        <v>0</v>
      </c>
      <c r="N8" s="1535">
        <f t="shared" si="10"/>
        <v>0</v>
      </c>
      <c r="O8" s="1536">
        <f t="shared" si="10"/>
        <v>0</v>
      </c>
      <c r="P8" s="1533">
        <f t="shared" si="1"/>
        <v>0</v>
      </c>
      <c r="Q8" s="1534"/>
      <c r="R8" s="1531"/>
      <c r="S8" s="1532"/>
      <c r="T8" s="1533">
        <f t="shared" si="6"/>
        <v>0</v>
      </c>
      <c r="U8" s="1531"/>
      <c r="V8" s="1531"/>
      <c r="W8" s="1532"/>
      <c r="X8" s="1533">
        <f t="shared" si="7"/>
        <v>0</v>
      </c>
      <c r="Y8" s="1535">
        <f t="shared" si="8"/>
        <v>0</v>
      </c>
      <c r="Z8" s="1536">
        <f t="shared" si="9"/>
        <v>0</v>
      </c>
      <c r="AA8" s="1533">
        <f t="shared" si="2"/>
        <v>0</v>
      </c>
      <c r="AD8" s="1528"/>
      <c r="AE8" s="1528"/>
    </row>
    <row r="9" spans="2:31" ht="15" hidden="1" customHeight="1" x14ac:dyDescent="0.25">
      <c r="B9" s="1529"/>
      <c r="C9" s="1530"/>
      <c r="D9" s="1577"/>
      <c r="E9" s="1534"/>
      <c r="F9" s="1532"/>
      <c r="G9" s="1533">
        <f t="shared" si="3"/>
        <v>0</v>
      </c>
      <c r="H9" s="1534"/>
      <c r="I9" s="1532"/>
      <c r="J9" s="1533">
        <f t="shared" si="4"/>
        <v>0</v>
      </c>
      <c r="K9" s="1534"/>
      <c r="L9" s="1532"/>
      <c r="M9" s="1533">
        <f t="shared" si="5"/>
        <v>0</v>
      </c>
      <c r="N9" s="1535">
        <f t="shared" si="10"/>
        <v>0</v>
      </c>
      <c r="O9" s="1536">
        <f t="shared" si="10"/>
        <v>0</v>
      </c>
      <c r="P9" s="1533">
        <f t="shared" si="1"/>
        <v>0</v>
      </c>
      <c r="Q9" s="1534"/>
      <c r="R9" s="1531"/>
      <c r="S9" s="1532"/>
      <c r="T9" s="1533">
        <f t="shared" ref="T9:T12" si="11">SUM(Q9:S9)</f>
        <v>0</v>
      </c>
      <c r="U9" s="1531"/>
      <c r="V9" s="1531"/>
      <c r="W9" s="1532"/>
      <c r="X9" s="1533">
        <f t="shared" si="7"/>
        <v>0</v>
      </c>
      <c r="Y9" s="1535">
        <f t="shared" si="8"/>
        <v>0</v>
      </c>
      <c r="Z9" s="1536">
        <f t="shared" si="9"/>
        <v>0</v>
      </c>
      <c r="AA9" s="1533">
        <f t="shared" si="2"/>
        <v>0</v>
      </c>
      <c r="AD9" s="1528"/>
      <c r="AE9" s="1528"/>
    </row>
    <row r="10" spans="2:31" ht="15" hidden="1" customHeight="1" x14ac:dyDescent="0.25">
      <c r="B10" s="1529"/>
      <c r="C10" s="1530"/>
      <c r="D10" s="1577"/>
      <c r="E10" s="1534"/>
      <c r="F10" s="1532"/>
      <c r="G10" s="1533">
        <f t="shared" si="3"/>
        <v>0</v>
      </c>
      <c r="H10" s="1534"/>
      <c r="I10" s="1532"/>
      <c r="J10" s="1533">
        <f t="shared" si="4"/>
        <v>0</v>
      </c>
      <c r="K10" s="1534"/>
      <c r="L10" s="1532"/>
      <c r="M10" s="1533">
        <f t="shared" si="5"/>
        <v>0</v>
      </c>
      <c r="N10" s="1535">
        <f t="shared" si="10"/>
        <v>0</v>
      </c>
      <c r="O10" s="1536">
        <f t="shared" si="10"/>
        <v>0</v>
      </c>
      <c r="P10" s="1533">
        <f t="shared" si="1"/>
        <v>0</v>
      </c>
      <c r="Q10" s="1534"/>
      <c r="R10" s="1531"/>
      <c r="S10" s="1532"/>
      <c r="T10" s="1533">
        <f t="shared" si="11"/>
        <v>0</v>
      </c>
      <c r="U10" s="1531"/>
      <c r="V10" s="1531"/>
      <c r="W10" s="1532"/>
      <c r="X10" s="1533">
        <f t="shared" si="7"/>
        <v>0</v>
      </c>
      <c r="Y10" s="1535">
        <f t="shared" si="8"/>
        <v>0</v>
      </c>
      <c r="Z10" s="1536">
        <f t="shared" si="9"/>
        <v>0</v>
      </c>
      <c r="AA10" s="1533">
        <f t="shared" si="2"/>
        <v>0</v>
      </c>
      <c r="AD10" s="1528"/>
      <c r="AE10" s="1528"/>
    </row>
    <row r="11" spans="2:31" ht="15" hidden="1" customHeight="1" x14ac:dyDescent="0.25">
      <c r="B11" s="1529"/>
      <c r="C11" s="1530"/>
      <c r="D11" s="1577"/>
      <c r="E11" s="1534"/>
      <c r="F11" s="1532"/>
      <c r="G11" s="1533">
        <f t="shared" si="3"/>
        <v>0</v>
      </c>
      <c r="H11" s="1534"/>
      <c r="I11" s="1532"/>
      <c r="J11" s="1533">
        <f t="shared" si="4"/>
        <v>0</v>
      </c>
      <c r="K11" s="1534"/>
      <c r="L11" s="1532"/>
      <c r="M11" s="1533">
        <f t="shared" si="5"/>
        <v>0</v>
      </c>
      <c r="N11" s="1535">
        <f t="shared" si="10"/>
        <v>0</v>
      </c>
      <c r="O11" s="1536">
        <f t="shared" si="10"/>
        <v>0</v>
      </c>
      <c r="P11" s="1533">
        <f t="shared" si="1"/>
        <v>0</v>
      </c>
      <c r="Q11" s="1534"/>
      <c r="R11" s="1531"/>
      <c r="S11" s="1532"/>
      <c r="T11" s="1533">
        <f t="shared" si="11"/>
        <v>0</v>
      </c>
      <c r="U11" s="1531"/>
      <c r="V11" s="1531"/>
      <c r="W11" s="1532"/>
      <c r="X11" s="1533">
        <f t="shared" si="7"/>
        <v>0</v>
      </c>
      <c r="Y11" s="1535">
        <f t="shared" si="8"/>
        <v>0</v>
      </c>
      <c r="Z11" s="1536">
        <f t="shared" si="9"/>
        <v>0</v>
      </c>
      <c r="AA11" s="1533">
        <f t="shared" si="2"/>
        <v>0</v>
      </c>
      <c r="AD11" s="1528"/>
      <c r="AE11" s="1528"/>
    </row>
    <row r="12" spans="2:31" ht="15" hidden="1" customHeight="1" x14ac:dyDescent="0.25">
      <c r="B12" s="1529"/>
      <c r="C12" s="1530"/>
      <c r="D12" s="1577"/>
      <c r="E12" s="1534"/>
      <c r="F12" s="1532"/>
      <c r="G12" s="1533">
        <f t="shared" si="3"/>
        <v>0</v>
      </c>
      <c r="H12" s="1534"/>
      <c r="I12" s="1532"/>
      <c r="J12" s="1533">
        <f t="shared" si="4"/>
        <v>0</v>
      </c>
      <c r="K12" s="1534"/>
      <c r="L12" s="1532"/>
      <c r="M12" s="1533">
        <f t="shared" si="5"/>
        <v>0</v>
      </c>
      <c r="N12" s="1535">
        <f t="shared" si="10"/>
        <v>0</v>
      </c>
      <c r="O12" s="1536">
        <f t="shared" si="10"/>
        <v>0</v>
      </c>
      <c r="P12" s="1533">
        <f t="shared" si="1"/>
        <v>0</v>
      </c>
      <c r="Q12" s="1534"/>
      <c r="R12" s="1531"/>
      <c r="S12" s="1532"/>
      <c r="T12" s="1533">
        <f t="shared" si="11"/>
        <v>0</v>
      </c>
      <c r="U12" s="1531"/>
      <c r="V12" s="1531"/>
      <c r="W12" s="1532"/>
      <c r="X12" s="1533">
        <f t="shared" si="7"/>
        <v>0</v>
      </c>
      <c r="Y12" s="1535">
        <f t="shared" si="8"/>
        <v>0</v>
      </c>
      <c r="Z12" s="1536">
        <f t="shared" si="9"/>
        <v>0</v>
      </c>
      <c r="AA12" s="1533">
        <f t="shared" si="2"/>
        <v>0</v>
      </c>
      <c r="AD12" s="1528"/>
      <c r="AE12" s="1528"/>
    </row>
    <row r="13" spans="2:31" ht="15" hidden="1" customHeight="1" x14ac:dyDescent="0.25">
      <c r="B13" s="1529"/>
      <c r="C13" s="1530"/>
      <c r="D13" s="1577"/>
      <c r="E13" s="1534"/>
      <c r="F13" s="1532"/>
      <c r="G13" s="1533">
        <f t="shared" ref="G13:G25" si="12">SUM(E13:F13)</f>
        <v>0</v>
      </c>
      <c r="H13" s="1534"/>
      <c r="I13" s="1532"/>
      <c r="J13" s="1533">
        <f t="shared" ref="J13:J25" si="13">SUM(H13:I13)</f>
        <v>0</v>
      </c>
      <c r="K13" s="1534"/>
      <c r="L13" s="1532"/>
      <c r="M13" s="1533">
        <f t="shared" ref="M13:M25" si="14">SUM(K13:L13)</f>
        <v>0</v>
      </c>
      <c r="N13" s="1535">
        <f t="shared" si="10"/>
        <v>0</v>
      </c>
      <c r="O13" s="1536">
        <f t="shared" si="10"/>
        <v>0</v>
      </c>
      <c r="P13" s="1533">
        <f t="shared" si="1"/>
        <v>0</v>
      </c>
      <c r="Q13" s="1534"/>
      <c r="R13" s="1531"/>
      <c r="S13" s="1532"/>
      <c r="T13" s="1533">
        <f t="shared" si="6"/>
        <v>0</v>
      </c>
      <c r="U13" s="1531"/>
      <c r="V13" s="1531"/>
      <c r="W13" s="1532"/>
      <c r="X13" s="1533">
        <f t="shared" si="7"/>
        <v>0</v>
      </c>
      <c r="Y13" s="1535">
        <f t="shared" si="8"/>
        <v>0</v>
      </c>
      <c r="Z13" s="1536">
        <f t="shared" si="9"/>
        <v>0</v>
      </c>
      <c r="AA13" s="1533">
        <f>+T13+X13</f>
        <v>0</v>
      </c>
      <c r="AE13" s="1528"/>
    </row>
    <row r="14" spans="2:31" ht="15" hidden="1" customHeight="1" x14ac:dyDescent="0.25">
      <c r="B14" s="1529"/>
      <c r="C14" s="1530"/>
      <c r="D14" s="1577"/>
      <c r="E14" s="1534"/>
      <c r="F14" s="1532"/>
      <c r="G14" s="1533">
        <f t="shared" si="12"/>
        <v>0</v>
      </c>
      <c r="H14" s="1534"/>
      <c r="I14" s="1532"/>
      <c r="J14" s="1533">
        <f t="shared" si="13"/>
        <v>0</v>
      </c>
      <c r="K14" s="1534"/>
      <c r="L14" s="1532"/>
      <c r="M14" s="1533">
        <f t="shared" si="14"/>
        <v>0</v>
      </c>
      <c r="N14" s="1535">
        <f t="shared" si="10"/>
        <v>0</v>
      </c>
      <c r="O14" s="1536">
        <f t="shared" si="10"/>
        <v>0</v>
      </c>
      <c r="P14" s="1533">
        <f t="shared" si="1"/>
        <v>0</v>
      </c>
      <c r="Q14" s="1534"/>
      <c r="R14" s="1531"/>
      <c r="S14" s="1532"/>
      <c r="T14" s="1533">
        <f t="shared" ref="T14:T25" si="15">SUM(Q14:S14)</f>
        <v>0</v>
      </c>
      <c r="U14" s="1531"/>
      <c r="V14" s="1531"/>
      <c r="W14" s="1532"/>
      <c r="X14" s="1533">
        <f t="shared" si="7"/>
        <v>0</v>
      </c>
      <c r="Y14" s="1535">
        <f t="shared" si="8"/>
        <v>0</v>
      </c>
      <c r="Z14" s="1536">
        <f t="shared" si="9"/>
        <v>0</v>
      </c>
      <c r="AA14" s="1533">
        <f t="shared" ref="AA14:AA25" si="16">+T14+X14</f>
        <v>0</v>
      </c>
      <c r="AE14" s="1528"/>
    </row>
    <row r="15" spans="2:31" ht="15" hidden="1" customHeight="1" x14ac:dyDescent="0.25">
      <c r="B15" s="1529"/>
      <c r="C15" s="1530"/>
      <c r="D15" s="1577"/>
      <c r="E15" s="1534"/>
      <c r="F15" s="1532"/>
      <c r="G15" s="1533">
        <f t="shared" si="12"/>
        <v>0</v>
      </c>
      <c r="H15" s="1534"/>
      <c r="I15" s="1532"/>
      <c r="J15" s="1533">
        <f t="shared" si="13"/>
        <v>0</v>
      </c>
      <c r="K15" s="1534"/>
      <c r="L15" s="1532"/>
      <c r="M15" s="1533">
        <f t="shared" si="14"/>
        <v>0</v>
      </c>
      <c r="N15" s="1535">
        <f t="shared" si="10"/>
        <v>0</v>
      </c>
      <c r="O15" s="1536">
        <f t="shared" si="10"/>
        <v>0</v>
      </c>
      <c r="P15" s="1533">
        <f t="shared" si="1"/>
        <v>0</v>
      </c>
      <c r="Q15" s="1534"/>
      <c r="R15" s="1531"/>
      <c r="S15" s="1532"/>
      <c r="T15" s="1533">
        <f t="shared" si="15"/>
        <v>0</v>
      </c>
      <c r="U15" s="1531"/>
      <c r="V15" s="1531"/>
      <c r="W15" s="1532"/>
      <c r="X15" s="1533">
        <f t="shared" si="7"/>
        <v>0</v>
      </c>
      <c r="Y15" s="1535">
        <f t="shared" si="8"/>
        <v>0</v>
      </c>
      <c r="Z15" s="1536">
        <f t="shared" si="9"/>
        <v>0</v>
      </c>
      <c r="AA15" s="1533">
        <f t="shared" si="16"/>
        <v>0</v>
      </c>
      <c r="AE15" s="1528"/>
    </row>
    <row r="16" spans="2:31" ht="15" hidden="1" customHeight="1" x14ac:dyDescent="0.25">
      <c r="B16" s="1529"/>
      <c r="C16" s="1530"/>
      <c r="D16" s="1577"/>
      <c r="E16" s="1534"/>
      <c r="F16" s="1532"/>
      <c r="G16" s="1533">
        <f t="shared" si="12"/>
        <v>0</v>
      </c>
      <c r="H16" s="1534"/>
      <c r="I16" s="1532"/>
      <c r="J16" s="1533">
        <f t="shared" si="13"/>
        <v>0</v>
      </c>
      <c r="K16" s="1534"/>
      <c r="L16" s="1532"/>
      <c r="M16" s="1533">
        <f t="shared" si="14"/>
        <v>0</v>
      </c>
      <c r="N16" s="1535">
        <f t="shared" si="10"/>
        <v>0</v>
      </c>
      <c r="O16" s="1536">
        <f t="shared" si="10"/>
        <v>0</v>
      </c>
      <c r="P16" s="1533">
        <f t="shared" si="1"/>
        <v>0</v>
      </c>
      <c r="Q16" s="1534"/>
      <c r="R16" s="1531"/>
      <c r="S16" s="1532"/>
      <c r="T16" s="1533">
        <f t="shared" si="15"/>
        <v>0</v>
      </c>
      <c r="U16" s="1531"/>
      <c r="V16" s="1531"/>
      <c r="W16" s="1532"/>
      <c r="X16" s="1533">
        <f t="shared" si="7"/>
        <v>0</v>
      </c>
      <c r="Y16" s="1535">
        <f t="shared" si="8"/>
        <v>0</v>
      </c>
      <c r="Z16" s="1536">
        <f t="shared" si="9"/>
        <v>0</v>
      </c>
      <c r="AA16" s="1533">
        <f t="shared" si="16"/>
        <v>0</v>
      </c>
      <c r="AE16" s="1528"/>
    </row>
    <row r="17" spans="2:31" ht="15" hidden="1" customHeight="1" x14ac:dyDescent="0.25">
      <c r="B17" s="1529"/>
      <c r="C17" s="1530"/>
      <c r="D17" s="1577"/>
      <c r="E17" s="1534"/>
      <c r="F17" s="1532"/>
      <c r="G17" s="1533">
        <f t="shared" si="12"/>
        <v>0</v>
      </c>
      <c r="H17" s="1534"/>
      <c r="I17" s="1532"/>
      <c r="J17" s="1533">
        <f t="shared" si="13"/>
        <v>0</v>
      </c>
      <c r="K17" s="1534"/>
      <c r="L17" s="1532"/>
      <c r="M17" s="1533">
        <f t="shared" si="14"/>
        <v>0</v>
      </c>
      <c r="N17" s="1535">
        <f t="shared" si="10"/>
        <v>0</v>
      </c>
      <c r="O17" s="1536">
        <f t="shared" si="10"/>
        <v>0</v>
      </c>
      <c r="P17" s="1533">
        <f t="shared" si="1"/>
        <v>0</v>
      </c>
      <c r="Q17" s="1534"/>
      <c r="R17" s="1531"/>
      <c r="S17" s="1532"/>
      <c r="T17" s="1533">
        <f t="shared" si="15"/>
        <v>0</v>
      </c>
      <c r="U17" s="1531"/>
      <c r="V17" s="1531"/>
      <c r="W17" s="1532"/>
      <c r="X17" s="1533">
        <f t="shared" si="7"/>
        <v>0</v>
      </c>
      <c r="Y17" s="1535">
        <f t="shared" si="8"/>
        <v>0</v>
      </c>
      <c r="Z17" s="1536">
        <f t="shared" si="9"/>
        <v>0</v>
      </c>
      <c r="AA17" s="1533">
        <f t="shared" si="16"/>
        <v>0</v>
      </c>
      <c r="AE17" s="1528"/>
    </row>
    <row r="18" spans="2:31" ht="15" hidden="1" customHeight="1" x14ac:dyDescent="0.25">
      <c r="B18" s="1529"/>
      <c r="C18" s="1530"/>
      <c r="D18" s="1577"/>
      <c r="E18" s="1534"/>
      <c r="F18" s="1532"/>
      <c r="G18" s="1533">
        <f t="shared" si="12"/>
        <v>0</v>
      </c>
      <c r="H18" s="1534"/>
      <c r="I18" s="1532"/>
      <c r="J18" s="1533">
        <f t="shared" si="13"/>
        <v>0</v>
      </c>
      <c r="K18" s="1534"/>
      <c r="L18" s="1532"/>
      <c r="M18" s="1533">
        <f t="shared" si="14"/>
        <v>0</v>
      </c>
      <c r="N18" s="1535">
        <f t="shared" si="10"/>
        <v>0</v>
      </c>
      <c r="O18" s="1536">
        <f t="shared" si="10"/>
        <v>0</v>
      </c>
      <c r="P18" s="1533">
        <f t="shared" si="1"/>
        <v>0</v>
      </c>
      <c r="Q18" s="1534"/>
      <c r="R18" s="1531"/>
      <c r="S18" s="1532"/>
      <c r="T18" s="1533">
        <f t="shared" si="15"/>
        <v>0</v>
      </c>
      <c r="U18" s="1531"/>
      <c r="V18" s="1531"/>
      <c r="W18" s="1532"/>
      <c r="X18" s="1533">
        <f t="shared" si="7"/>
        <v>0</v>
      </c>
      <c r="Y18" s="1535">
        <f t="shared" si="8"/>
        <v>0</v>
      </c>
      <c r="Z18" s="1536">
        <f t="shared" si="9"/>
        <v>0</v>
      </c>
      <c r="AA18" s="1533">
        <f t="shared" si="16"/>
        <v>0</v>
      </c>
      <c r="AE18" s="1528"/>
    </row>
    <row r="19" spans="2:31" ht="15" hidden="1" customHeight="1" x14ac:dyDescent="0.25">
      <c r="B19" s="1529"/>
      <c r="C19" s="1530"/>
      <c r="D19" s="1577"/>
      <c r="E19" s="1534"/>
      <c r="F19" s="1532"/>
      <c r="G19" s="1533">
        <f t="shared" si="12"/>
        <v>0</v>
      </c>
      <c r="H19" s="1534"/>
      <c r="I19" s="1532"/>
      <c r="J19" s="1533">
        <f t="shared" si="13"/>
        <v>0</v>
      </c>
      <c r="K19" s="1534"/>
      <c r="L19" s="1532"/>
      <c r="M19" s="1533">
        <f t="shared" si="14"/>
        <v>0</v>
      </c>
      <c r="N19" s="1535">
        <f t="shared" si="10"/>
        <v>0</v>
      </c>
      <c r="O19" s="1536">
        <f t="shared" si="10"/>
        <v>0</v>
      </c>
      <c r="P19" s="1533">
        <f t="shared" si="1"/>
        <v>0</v>
      </c>
      <c r="Q19" s="1534"/>
      <c r="R19" s="1531"/>
      <c r="S19" s="1532"/>
      <c r="T19" s="1533">
        <f t="shared" si="15"/>
        <v>0</v>
      </c>
      <c r="U19" s="1531"/>
      <c r="V19" s="1531"/>
      <c r="W19" s="1532"/>
      <c r="X19" s="1533">
        <f t="shared" si="7"/>
        <v>0</v>
      </c>
      <c r="Y19" s="1535">
        <f t="shared" si="8"/>
        <v>0</v>
      </c>
      <c r="Z19" s="1536">
        <f t="shared" si="9"/>
        <v>0</v>
      </c>
      <c r="AA19" s="1533">
        <f t="shared" si="16"/>
        <v>0</v>
      </c>
      <c r="AE19" s="1528"/>
    </row>
    <row r="20" spans="2:31" ht="15" hidden="1" customHeight="1" x14ac:dyDescent="0.25">
      <c r="B20" s="1529"/>
      <c r="C20" s="1530"/>
      <c r="D20" s="1577"/>
      <c r="E20" s="1534"/>
      <c r="F20" s="1532"/>
      <c r="G20" s="1533">
        <f t="shared" si="12"/>
        <v>0</v>
      </c>
      <c r="H20" s="1534"/>
      <c r="I20" s="1532"/>
      <c r="J20" s="1533">
        <f t="shared" si="13"/>
        <v>0</v>
      </c>
      <c r="K20" s="1534"/>
      <c r="L20" s="1532"/>
      <c r="M20" s="1533">
        <f t="shared" si="14"/>
        <v>0</v>
      </c>
      <c r="N20" s="1535">
        <f t="shared" si="10"/>
        <v>0</v>
      </c>
      <c r="O20" s="1536">
        <f t="shared" si="10"/>
        <v>0</v>
      </c>
      <c r="P20" s="1533">
        <f t="shared" si="1"/>
        <v>0</v>
      </c>
      <c r="Q20" s="1534"/>
      <c r="R20" s="1531"/>
      <c r="S20" s="1532"/>
      <c r="T20" s="1533">
        <f t="shared" si="15"/>
        <v>0</v>
      </c>
      <c r="U20" s="1531"/>
      <c r="V20" s="1531"/>
      <c r="W20" s="1532"/>
      <c r="X20" s="1533">
        <f t="shared" si="7"/>
        <v>0</v>
      </c>
      <c r="Y20" s="1535">
        <f t="shared" si="8"/>
        <v>0</v>
      </c>
      <c r="Z20" s="1536">
        <f t="shared" si="9"/>
        <v>0</v>
      </c>
      <c r="AA20" s="1533">
        <f t="shared" si="16"/>
        <v>0</v>
      </c>
      <c r="AE20" s="1528"/>
    </row>
    <row r="21" spans="2:31" ht="15" hidden="1" customHeight="1" x14ac:dyDescent="0.25">
      <c r="B21" s="1529"/>
      <c r="C21" s="1530"/>
      <c r="D21" s="1577"/>
      <c r="E21" s="1534"/>
      <c r="F21" s="1532"/>
      <c r="G21" s="1533">
        <f t="shared" si="12"/>
        <v>0</v>
      </c>
      <c r="H21" s="1534"/>
      <c r="I21" s="1532"/>
      <c r="J21" s="1533">
        <f t="shared" si="13"/>
        <v>0</v>
      </c>
      <c r="K21" s="1534"/>
      <c r="L21" s="1532"/>
      <c r="M21" s="1533">
        <f t="shared" si="14"/>
        <v>0</v>
      </c>
      <c r="N21" s="1535">
        <f t="shared" si="10"/>
        <v>0</v>
      </c>
      <c r="O21" s="1536">
        <f t="shared" si="10"/>
        <v>0</v>
      </c>
      <c r="P21" s="1533">
        <f t="shared" si="1"/>
        <v>0</v>
      </c>
      <c r="Q21" s="1534"/>
      <c r="R21" s="1531"/>
      <c r="S21" s="1532"/>
      <c r="T21" s="1533">
        <f t="shared" si="15"/>
        <v>0</v>
      </c>
      <c r="U21" s="1531"/>
      <c r="V21" s="1531"/>
      <c r="W21" s="1532"/>
      <c r="X21" s="1533">
        <f t="shared" si="7"/>
        <v>0</v>
      </c>
      <c r="Y21" s="1535">
        <f t="shared" si="8"/>
        <v>0</v>
      </c>
      <c r="Z21" s="1536">
        <f t="shared" si="9"/>
        <v>0</v>
      </c>
      <c r="AA21" s="1533">
        <f t="shared" si="16"/>
        <v>0</v>
      </c>
      <c r="AE21" s="1528"/>
    </row>
    <row r="22" spans="2:31" ht="15" hidden="1" customHeight="1" x14ac:dyDescent="0.25">
      <c r="B22" s="1529"/>
      <c r="C22" s="1530"/>
      <c r="D22" s="1577"/>
      <c r="E22" s="1534"/>
      <c r="F22" s="1532"/>
      <c r="G22" s="1533">
        <f t="shared" si="12"/>
        <v>0</v>
      </c>
      <c r="H22" s="1534"/>
      <c r="I22" s="1532"/>
      <c r="J22" s="1533">
        <f t="shared" si="13"/>
        <v>0</v>
      </c>
      <c r="K22" s="1534"/>
      <c r="L22" s="1532"/>
      <c r="M22" s="1533">
        <f t="shared" si="14"/>
        <v>0</v>
      </c>
      <c r="N22" s="1535">
        <f t="shared" si="10"/>
        <v>0</v>
      </c>
      <c r="O22" s="1536">
        <f t="shared" si="10"/>
        <v>0</v>
      </c>
      <c r="P22" s="1533">
        <f t="shared" si="1"/>
        <v>0</v>
      </c>
      <c r="Q22" s="1534"/>
      <c r="R22" s="1531"/>
      <c r="S22" s="1532"/>
      <c r="T22" s="1533">
        <f t="shared" si="15"/>
        <v>0</v>
      </c>
      <c r="U22" s="1531"/>
      <c r="V22" s="1531"/>
      <c r="W22" s="1532"/>
      <c r="X22" s="1533">
        <f t="shared" si="7"/>
        <v>0</v>
      </c>
      <c r="Y22" s="1535">
        <f t="shared" si="8"/>
        <v>0</v>
      </c>
      <c r="Z22" s="1536">
        <f t="shared" si="9"/>
        <v>0</v>
      </c>
      <c r="AA22" s="1533">
        <f t="shared" si="16"/>
        <v>0</v>
      </c>
      <c r="AE22" s="1528"/>
    </row>
    <row r="23" spans="2:31" ht="15" hidden="1" customHeight="1" x14ac:dyDescent="0.25">
      <c r="B23" s="1529"/>
      <c r="C23" s="1530"/>
      <c r="D23" s="1577"/>
      <c r="E23" s="1534"/>
      <c r="F23" s="1532"/>
      <c r="G23" s="1533">
        <f t="shared" si="12"/>
        <v>0</v>
      </c>
      <c r="H23" s="1534"/>
      <c r="I23" s="1532"/>
      <c r="J23" s="1533">
        <f t="shared" si="13"/>
        <v>0</v>
      </c>
      <c r="K23" s="1534"/>
      <c r="L23" s="1532"/>
      <c r="M23" s="1533">
        <f t="shared" si="14"/>
        <v>0</v>
      </c>
      <c r="N23" s="1535">
        <f t="shared" ref="N23:O25" si="17">+E23+H23+K23</f>
        <v>0</v>
      </c>
      <c r="O23" s="1536">
        <f t="shared" si="17"/>
        <v>0</v>
      </c>
      <c r="P23" s="1533">
        <f t="shared" si="1"/>
        <v>0</v>
      </c>
      <c r="Q23" s="1534"/>
      <c r="R23" s="1531"/>
      <c r="S23" s="1532"/>
      <c r="T23" s="1533">
        <f t="shared" si="15"/>
        <v>0</v>
      </c>
      <c r="U23" s="1531"/>
      <c r="V23" s="1531"/>
      <c r="W23" s="1532"/>
      <c r="X23" s="1533">
        <f t="shared" si="7"/>
        <v>0</v>
      </c>
      <c r="Y23" s="1535">
        <f t="shared" si="8"/>
        <v>0</v>
      </c>
      <c r="Z23" s="1536">
        <f t="shared" si="9"/>
        <v>0</v>
      </c>
      <c r="AA23" s="1533">
        <f t="shared" si="16"/>
        <v>0</v>
      </c>
      <c r="AE23" s="1528"/>
    </row>
    <row r="24" spans="2:31" ht="15" hidden="1" customHeight="1" x14ac:dyDescent="0.25">
      <c r="B24" s="1529"/>
      <c r="C24" s="1530"/>
      <c r="D24" s="1577"/>
      <c r="E24" s="1534"/>
      <c r="F24" s="1532"/>
      <c r="G24" s="1533">
        <f t="shared" si="12"/>
        <v>0</v>
      </c>
      <c r="H24" s="1534"/>
      <c r="I24" s="1532"/>
      <c r="J24" s="1533">
        <f t="shared" si="13"/>
        <v>0</v>
      </c>
      <c r="K24" s="1534"/>
      <c r="L24" s="1532"/>
      <c r="M24" s="1533">
        <f t="shared" si="14"/>
        <v>0</v>
      </c>
      <c r="N24" s="1535">
        <f t="shared" si="17"/>
        <v>0</v>
      </c>
      <c r="O24" s="1536">
        <f t="shared" si="17"/>
        <v>0</v>
      </c>
      <c r="P24" s="1533">
        <f t="shared" si="1"/>
        <v>0</v>
      </c>
      <c r="Q24" s="1534"/>
      <c r="R24" s="1531"/>
      <c r="S24" s="1532"/>
      <c r="T24" s="1533">
        <f t="shared" si="15"/>
        <v>0</v>
      </c>
      <c r="U24" s="1531"/>
      <c r="V24" s="1531"/>
      <c r="W24" s="1532"/>
      <c r="X24" s="1533">
        <f t="shared" si="7"/>
        <v>0</v>
      </c>
      <c r="Y24" s="1535">
        <f t="shared" si="8"/>
        <v>0</v>
      </c>
      <c r="Z24" s="1536">
        <f t="shared" si="9"/>
        <v>0</v>
      </c>
      <c r="AA24" s="1533">
        <f t="shared" si="16"/>
        <v>0</v>
      </c>
      <c r="AE24" s="1538"/>
    </row>
    <row r="25" spans="2:31" ht="15" hidden="1" customHeight="1" thickBot="1" x14ac:dyDescent="0.3">
      <c r="B25" s="1529"/>
      <c r="C25" s="1530"/>
      <c r="D25" s="1577"/>
      <c r="E25" s="1534"/>
      <c r="F25" s="1532"/>
      <c r="G25" s="1533">
        <f t="shared" si="12"/>
        <v>0</v>
      </c>
      <c r="H25" s="1534"/>
      <c r="I25" s="1532"/>
      <c r="J25" s="1533">
        <f t="shared" si="13"/>
        <v>0</v>
      </c>
      <c r="K25" s="1534"/>
      <c r="L25" s="1532"/>
      <c r="M25" s="1533">
        <f t="shared" si="14"/>
        <v>0</v>
      </c>
      <c r="N25" s="1535">
        <f t="shared" si="17"/>
        <v>0</v>
      </c>
      <c r="O25" s="1536">
        <f t="shared" si="17"/>
        <v>0</v>
      </c>
      <c r="P25" s="1533">
        <f t="shared" si="1"/>
        <v>0</v>
      </c>
      <c r="Q25" s="1534"/>
      <c r="R25" s="1531"/>
      <c r="S25" s="1532"/>
      <c r="T25" s="1533">
        <f t="shared" si="15"/>
        <v>0</v>
      </c>
      <c r="U25" s="1531"/>
      <c r="V25" s="1531"/>
      <c r="W25" s="1532"/>
      <c r="X25" s="1533">
        <f t="shared" si="7"/>
        <v>0</v>
      </c>
      <c r="Y25" s="1535">
        <f t="shared" si="8"/>
        <v>0</v>
      </c>
      <c r="Z25" s="1536">
        <f t="shared" si="9"/>
        <v>0</v>
      </c>
      <c r="AA25" s="1533">
        <f t="shared" si="16"/>
        <v>0</v>
      </c>
      <c r="AE25" s="1528"/>
    </row>
    <row r="26" spans="2:31" s="150" customFormat="1" ht="15" customHeight="1" thickBot="1" x14ac:dyDescent="0.3">
      <c r="B26" s="1539" t="s">
        <v>327</v>
      </c>
      <c r="C26" s="1540"/>
      <c r="D26" s="1578">
        <f t="shared" ref="D26:AA26" si="18">SUM(D4:D25)</f>
        <v>0</v>
      </c>
      <c r="E26" s="1543">
        <f t="shared" si="18"/>
        <v>0</v>
      </c>
      <c r="F26" s="1540">
        <f t="shared" si="18"/>
        <v>0</v>
      </c>
      <c r="G26" s="1542">
        <f t="shared" si="18"/>
        <v>0</v>
      </c>
      <c r="H26" s="1543">
        <f t="shared" si="18"/>
        <v>0</v>
      </c>
      <c r="I26" s="1540">
        <f t="shared" si="18"/>
        <v>0</v>
      </c>
      <c r="J26" s="1542">
        <f t="shared" si="18"/>
        <v>0</v>
      </c>
      <c r="K26" s="1543">
        <f t="shared" si="18"/>
        <v>0</v>
      </c>
      <c r="L26" s="1540">
        <f t="shared" si="18"/>
        <v>0</v>
      </c>
      <c r="M26" s="1542">
        <f t="shared" si="18"/>
        <v>0</v>
      </c>
      <c r="N26" s="1543">
        <f t="shared" si="18"/>
        <v>0</v>
      </c>
      <c r="O26" s="1540">
        <f t="shared" si="18"/>
        <v>0</v>
      </c>
      <c r="P26" s="1542">
        <f t="shared" si="18"/>
        <v>0</v>
      </c>
      <c r="Q26" s="1543">
        <f t="shared" si="18"/>
        <v>0</v>
      </c>
      <c r="R26" s="1541">
        <f t="shared" si="18"/>
        <v>0</v>
      </c>
      <c r="S26" s="1540">
        <f t="shared" si="18"/>
        <v>0</v>
      </c>
      <c r="T26" s="1542">
        <f t="shared" si="18"/>
        <v>0</v>
      </c>
      <c r="U26" s="1541">
        <f t="shared" si="18"/>
        <v>0</v>
      </c>
      <c r="V26" s="1541">
        <f t="shared" si="18"/>
        <v>0</v>
      </c>
      <c r="W26" s="1540">
        <f t="shared" si="18"/>
        <v>0</v>
      </c>
      <c r="X26" s="1542">
        <f t="shared" si="18"/>
        <v>0</v>
      </c>
      <c r="Y26" s="1543">
        <f t="shared" si="18"/>
        <v>0</v>
      </c>
      <c r="Z26" s="1543">
        <f t="shared" si="18"/>
        <v>0</v>
      </c>
      <c r="AA26" s="1545">
        <f t="shared" si="18"/>
        <v>0</v>
      </c>
      <c r="AE26" s="1546"/>
    </row>
    <row r="27" spans="2:31" s="1553" customFormat="1" ht="15" customHeight="1" thickBot="1" x14ac:dyDescent="0.3">
      <c r="B27" s="1547" t="s">
        <v>328</v>
      </c>
      <c r="C27" s="1548"/>
      <c r="D27" s="1549"/>
      <c r="E27" s="1549" t="e">
        <f t="shared" ref="E27:P27" si="19">+E26/$P$26</f>
        <v>#DIV/0!</v>
      </c>
      <c r="F27" s="1549" t="e">
        <f t="shared" si="19"/>
        <v>#DIV/0!</v>
      </c>
      <c r="G27" s="1549" t="e">
        <f t="shared" si="19"/>
        <v>#DIV/0!</v>
      </c>
      <c r="H27" s="1549" t="e">
        <f t="shared" si="19"/>
        <v>#DIV/0!</v>
      </c>
      <c r="I27" s="1549" t="e">
        <f t="shared" si="19"/>
        <v>#DIV/0!</v>
      </c>
      <c r="J27" s="1549" t="e">
        <f t="shared" si="19"/>
        <v>#DIV/0!</v>
      </c>
      <c r="K27" s="1549" t="e">
        <f t="shared" si="19"/>
        <v>#DIV/0!</v>
      </c>
      <c r="L27" s="1549" t="e">
        <f t="shared" si="19"/>
        <v>#DIV/0!</v>
      </c>
      <c r="M27" s="1549" t="e">
        <f t="shared" si="19"/>
        <v>#DIV/0!</v>
      </c>
      <c r="N27" s="1549" t="e">
        <f t="shared" si="19"/>
        <v>#DIV/0!</v>
      </c>
      <c r="O27" s="1549" t="e">
        <f t="shared" si="19"/>
        <v>#DIV/0!</v>
      </c>
      <c r="P27" s="1552" t="e">
        <f t="shared" si="19"/>
        <v>#DIV/0!</v>
      </c>
      <c r="Q27" s="1551" t="e">
        <f t="shared" ref="Q27:AA27" si="20">+Q26/$AA$26</f>
        <v>#DIV/0!</v>
      </c>
      <c r="R27" s="1549" t="e">
        <f t="shared" si="20"/>
        <v>#DIV/0!</v>
      </c>
      <c r="S27" s="1549" t="e">
        <f t="shared" si="20"/>
        <v>#DIV/0!</v>
      </c>
      <c r="T27" s="1552" t="e">
        <f t="shared" si="20"/>
        <v>#DIV/0!</v>
      </c>
      <c r="U27" s="1764" t="e">
        <f t="shared" si="20"/>
        <v>#DIV/0!</v>
      </c>
      <c r="V27" s="1549" t="e">
        <f t="shared" si="20"/>
        <v>#DIV/0!</v>
      </c>
      <c r="W27" s="1549" t="e">
        <f t="shared" si="20"/>
        <v>#DIV/0!</v>
      </c>
      <c r="X27" s="1552" t="e">
        <f t="shared" si="20"/>
        <v>#DIV/0!</v>
      </c>
      <c r="Y27" s="1551" t="e">
        <f t="shared" si="20"/>
        <v>#DIV/0!</v>
      </c>
      <c r="Z27" s="1549" t="e">
        <f t="shared" si="20"/>
        <v>#DIV/0!</v>
      </c>
      <c r="AA27" s="1552" t="e">
        <f t="shared" si="20"/>
        <v>#DIV/0!</v>
      </c>
      <c r="AE27" s="1554"/>
    </row>
    <row r="28" spans="2:31" s="592" customFormat="1" ht="15" customHeight="1" x14ac:dyDescent="0.25">
      <c r="B28" s="2076" t="s">
        <v>329</v>
      </c>
      <c r="C28" s="2077"/>
      <c r="D28" s="2078"/>
      <c r="E28" s="1555">
        <f t="shared" ref="E28:X28" si="21">+E26/$D$34</f>
        <v>0</v>
      </c>
      <c r="F28" s="1555">
        <f t="shared" si="21"/>
        <v>0</v>
      </c>
      <c r="G28" s="1555">
        <f t="shared" si="21"/>
        <v>0</v>
      </c>
      <c r="H28" s="1555">
        <f t="shared" si="21"/>
        <v>0</v>
      </c>
      <c r="I28" s="1555">
        <f t="shared" si="21"/>
        <v>0</v>
      </c>
      <c r="J28" s="1555">
        <f t="shared" si="21"/>
        <v>0</v>
      </c>
      <c r="K28" s="1555">
        <f t="shared" si="21"/>
        <v>0</v>
      </c>
      <c r="L28" s="1555">
        <f t="shared" si="21"/>
        <v>0</v>
      </c>
      <c r="M28" s="1555">
        <f t="shared" si="21"/>
        <v>0</v>
      </c>
      <c r="N28" s="1555">
        <f t="shared" si="21"/>
        <v>0</v>
      </c>
      <c r="O28" s="1555">
        <f t="shared" si="21"/>
        <v>0</v>
      </c>
      <c r="P28" s="1558">
        <f t="shared" si="21"/>
        <v>0</v>
      </c>
      <c r="Q28" s="1557">
        <f t="shared" si="21"/>
        <v>0</v>
      </c>
      <c r="R28" s="1555">
        <f t="shared" si="21"/>
        <v>0</v>
      </c>
      <c r="S28" s="1555">
        <f t="shared" si="21"/>
        <v>0</v>
      </c>
      <c r="T28" s="1558">
        <f t="shared" si="21"/>
        <v>0</v>
      </c>
      <c r="U28" s="1765">
        <f t="shared" si="21"/>
        <v>0</v>
      </c>
      <c r="V28" s="1555">
        <f t="shared" si="21"/>
        <v>0</v>
      </c>
      <c r="W28" s="1555">
        <f t="shared" si="21"/>
        <v>0</v>
      </c>
      <c r="X28" s="1558">
        <f t="shared" si="21"/>
        <v>0</v>
      </c>
      <c r="Y28" s="1557">
        <f>+Y26/$D$34</f>
        <v>0</v>
      </c>
      <c r="Z28" s="1555">
        <f>+Z26/$D$34</f>
        <v>0</v>
      </c>
      <c r="AA28" s="1558">
        <f>+AA26/$D$34</f>
        <v>0</v>
      </c>
      <c r="AE28" s="1559"/>
    </row>
    <row r="29" spans="2:31" s="592" customFormat="1" ht="15" customHeight="1" thickBot="1" x14ac:dyDescent="0.3">
      <c r="B29" s="2079" t="s">
        <v>330</v>
      </c>
      <c r="C29" s="2080"/>
      <c r="D29" s="2081"/>
      <c r="E29" s="1560">
        <f t="shared" ref="E29:X29" si="22">+E26/$D$35</f>
        <v>0</v>
      </c>
      <c r="F29" s="1560">
        <f t="shared" si="22"/>
        <v>0</v>
      </c>
      <c r="G29" s="1560">
        <f t="shared" si="22"/>
        <v>0</v>
      </c>
      <c r="H29" s="1560">
        <f t="shared" si="22"/>
        <v>0</v>
      </c>
      <c r="I29" s="1560">
        <f t="shared" si="22"/>
        <v>0</v>
      </c>
      <c r="J29" s="1560">
        <f t="shared" si="22"/>
        <v>0</v>
      </c>
      <c r="K29" s="1560">
        <f t="shared" si="22"/>
        <v>0</v>
      </c>
      <c r="L29" s="1560">
        <f t="shared" si="22"/>
        <v>0</v>
      </c>
      <c r="M29" s="1560">
        <f t="shared" si="22"/>
        <v>0</v>
      </c>
      <c r="N29" s="1560">
        <f t="shared" si="22"/>
        <v>0</v>
      </c>
      <c r="O29" s="1560">
        <f t="shared" si="22"/>
        <v>0</v>
      </c>
      <c r="P29" s="1563">
        <f t="shared" si="22"/>
        <v>0</v>
      </c>
      <c r="Q29" s="1562">
        <f t="shared" si="22"/>
        <v>0</v>
      </c>
      <c r="R29" s="1560">
        <f t="shared" si="22"/>
        <v>0</v>
      </c>
      <c r="S29" s="1560">
        <f t="shared" si="22"/>
        <v>0</v>
      </c>
      <c r="T29" s="1563">
        <f t="shared" si="22"/>
        <v>0</v>
      </c>
      <c r="U29" s="1766">
        <f t="shared" si="22"/>
        <v>0</v>
      </c>
      <c r="V29" s="1560">
        <f t="shared" si="22"/>
        <v>0</v>
      </c>
      <c r="W29" s="1560">
        <f t="shared" si="22"/>
        <v>0</v>
      </c>
      <c r="X29" s="1563">
        <f t="shared" si="22"/>
        <v>0</v>
      </c>
      <c r="Y29" s="1562">
        <f>+Y26/$D$35</f>
        <v>0</v>
      </c>
      <c r="Z29" s="1560">
        <f>+Z26/$D$35</f>
        <v>0</v>
      </c>
      <c r="AA29" s="1563">
        <f>+AA26/$D$35</f>
        <v>0</v>
      </c>
      <c r="AE29" s="1559"/>
    </row>
    <row r="30" spans="2:31" s="592" customFormat="1" ht="15" customHeight="1" x14ac:dyDescent="0.25">
      <c r="B30" s="2076" t="s">
        <v>331</v>
      </c>
      <c r="C30" s="2077"/>
      <c r="D30" s="2078"/>
      <c r="E30" s="1564">
        <f t="shared" ref="E30:AA30" si="23">+E26/$D$36</f>
        <v>0</v>
      </c>
      <c r="F30" s="1564">
        <f t="shared" si="23"/>
        <v>0</v>
      </c>
      <c r="G30" s="1564">
        <f t="shared" si="23"/>
        <v>0</v>
      </c>
      <c r="H30" s="1564">
        <f t="shared" si="23"/>
        <v>0</v>
      </c>
      <c r="I30" s="1564">
        <f t="shared" si="23"/>
        <v>0</v>
      </c>
      <c r="J30" s="1564">
        <f t="shared" si="23"/>
        <v>0</v>
      </c>
      <c r="K30" s="1564">
        <f t="shared" si="23"/>
        <v>0</v>
      </c>
      <c r="L30" s="1564">
        <f t="shared" si="23"/>
        <v>0</v>
      </c>
      <c r="M30" s="1564">
        <f t="shared" si="23"/>
        <v>0</v>
      </c>
      <c r="N30" s="1564">
        <f t="shared" si="23"/>
        <v>0</v>
      </c>
      <c r="O30" s="1564">
        <f t="shared" si="23"/>
        <v>0</v>
      </c>
      <c r="P30" s="1565">
        <f t="shared" si="23"/>
        <v>0</v>
      </c>
      <c r="Q30" s="1768">
        <f t="shared" si="23"/>
        <v>0</v>
      </c>
      <c r="R30" s="1564">
        <f t="shared" si="23"/>
        <v>0</v>
      </c>
      <c r="S30" s="1564">
        <f t="shared" si="23"/>
        <v>0</v>
      </c>
      <c r="T30" s="1565">
        <f t="shared" si="23"/>
        <v>0</v>
      </c>
      <c r="U30" s="1767">
        <f t="shared" si="23"/>
        <v>0</v>
      </c>
      <c r="V30" s="1564">
        <f t="shared" si="23"/>
        <v>0</v>
      </c>
      <c r="W30" s="1564">
        <f t="shared" si="23"/>
        <v>0</v>
      </c>
      <c r="X30" s="1564">
        <f t="shared" si="23"/>
        <v>0</v>
      </c>
      <c r="Y30" s="1564">
        <f t="shared" si="23"/>
        <v>0</v>
      </c>
      <c r="Z30" s="1564">
        <f t="shared" si="23"/>
        <v>0</v>
      </c>
      <c r="AA30" s="1565">
        <f t="shared" si="23"/>
        <v>0</v>
      </c>
      <c r="AE30" s="1559"/>
    </row>
    <row r="31" spans="2:31" s="592" customFormat="1" ht="15" customHeight="1" thickBot="1" x14ac:dyDescent="0.3">
      <c r="B31" s="2079" t="s">
        <v>332</v>
      </c>
      <c r="C31" s="2080"/>
      <c r="D31" s="2081"/>
      <c r="E31" s="1560">
        <f t="shared" ref="E31:AA31" si="24">+E26/$D$37</f>
        <v>0</v>
      </c>
      <c r="F31" s="1560">
        <f t="shared" si="24"/>
        <v>0</v>
      </c>
      <c r="G31" s="1560">
        <f t="shared" si="24"/>
        <v>0</v>
      </c>
      <c r="H31" s="1560">
        <f t="shared" si="24"/>
        <v>0</v>
      </c>
      <c r="I31" s="1560">
        <f t="shared" si="24"/>
        <v>0</v>
      </c>
      <c r="J31" s="1560">
        <f t="shared" si="24"/>
        <v>0</v>
      </c>
      <c r="K31" s="1560">
        <f t="shared" si="24"/>
        <v>0</v>
      </c>
      <c r="L31" s="1560">
        <f t="shared" si="24"/>
        <v>0</v>
      </c>
      <c r="M31" s="1560">
        <f t="shared" si="24"/>
        <v>0</v>
      </c>
      <c r="N31" s="1560">
        <f t="shared" si="24"/>
        <v>0</v>
      </c>
      <c r="O31" s="1560">
        <f t="shared" si="24"/>
        <v>0</v>
      </c>
      <c r="P31" s="1563">
        <f t="shared" si="24"/>
        <v>0</v>
      </c>
      <c r="Q31" s="1562">
        <f t="shared" si="24"/>
        <v>0</v>
      </c>
      <c r="R31" s="1560">
        <f t="shared" si="24"/>
        <v>0</v>
      </c>
      <c r="S31" s="1560">
        <f t="shared" si="24"/>
        <v>0</v>
      </c>
      <c r="T31" s="1563">
        <f t="shared" si="24"/>
        <v>0</v>
      </c>
      <c r="U31" s="1766">
        <f t="shared" si="24"/>
        <v>0</v>
      </c>
      <c r="V31" s="1560">
        <f t="shared" si="24"/>
        <v>0</v>
      </c>
      <c r="W31" s="1560">
        <f t="shared" si="24"/>
        <v>0</v>
      </c>
      <c r="X31" s="1560">
        <f t="shared" si="24"/>
        <v>0</v>
      </c>
      <c r="Y31" s="1560">
        <f t="shared" si="24"/>
        <v>0</v>
      </c>
      <c r="Z31" s="1560">
        <f t="shared" si="24"/>
        <v>0</v>
      </c>
      <c r="AA31" s="1563">
        <f t="shared" si="24"/>
        <v>0</v>
      </c>
      <c r="AE31" s="1559"/>
    </row>
    <row r="32" spans="2:31" s="566" customFormat="1" ht="15" customHeight="1" x14ac:dyDescent="0.25">
      <c r="B32" s="2082" t="s">
        <v>333</v>
      </c>
      <c r="C32" s="2083"/>
      <c r="D32" s="2083"/>
      <c r="E32" s="2083"/>
      <c r="F32" s="2083"/>
      <c r="G32" s="2083"/>
      <c r="H32" s="2083"/>
      <c r="I32" s="2083"/>
      <c r="J32" s="2083"/>
      <c r="K32" s="2083"/>
      <c r="L32" s="2083"/>
      <c r="M32" s="2083"/>
      <c r="N32" s="2083"/>
      <c r="O32" s="2083"/>
      <c r="P32" s="2083"/>
      <c r="Q32" s="2083"/>
      <c r="R32" s="2083"/>
      <c r="S32" s="2083"/>
      <c r="T32" s="2083"/>
      <c r="U32" s="2083"/>
      <c r="V32" s="2083"/>
      <c r="W32" s="2083"/>
      <c r="X32" s="2083"/>
      <c r="Y32" s="2083"/>
      <c r="Z32" s="2083"/>
      <c r="AA32" s="2084"/>
      <c r="AD32" s="1566"/>
      <c r="AE32" s="1567"/>
    </row>
    <row r="33" spans="2:31" x14ac:dyDescent="0.25">
      <c r="B33" s="1217"/>
      <c r="C33" s="1217"/>
      <c r="AD33" s="1568"/>
      <c r="AE33" s="1528"/>
    </row>
    <row r="34" spans="2:31" x14ac:dyDescent="0.25">
      <c r="B34" s="1569" t="s">
        <v>334</v>
      </c>
      <c r="C34" s="1570"/>
      <c r="D34" s="1571">
        <f>234/12</f>
        <v>19.5</v>
      </c>
      <c r="AD34" s="1568"/>
      <c r="AE34" s="1528"/>
    </row>
    <row r="35" spans="2:31" x14ac:dyDescent="0.25">
      <c r="B35" s="1356" t="s">
        <v>335</v>
      </c>
      <c r="C35" s="1572"/>
      <c r="D35" s="1573">
        <f>177/12</f>
        <v>14.75</v>
      </c>
      <c r="AD35" s="1568"/>
      <c r="AE35" s="1528"/>
    </row>
    <row r="36" spans="2:31" x14ac:dyDescent="0.25">
      <c r="B36" s="1569" t="s">
        <v>336</v>
      </c>
      <c r="C36" s="1570"/>
      <c r="D36" s="1571">
        <f>300/12</f>
        <v>25</v>
      </c>
      <c r="AD36" s="1568"/>
      <c r="AE36" s="1528"/>
    </row>
    <row r="37" spans="2:31" x14ac:dyDescent="0.25">
      <c r="B37" s="1356" t="s">
        <v>337</v>
      </c>
      <c r="C37" s="1572"/>
      <c r="D37" s="1573">
        <f>270/12</f>
        <v>22.5</v>
      </c>
      <c r="AD37" s="1568"/>
      <c r="AE37" s="1528"/>
    </row>
    <row r="38" spans="2:31" x14ac:dyDescent="0.25">
      <c r="B38" s="1217"/>
      <c r="C38" s="1217"/>
      <c r="AD38" s="1568"/>
      <c r="AE38" s="1528"/>
    </row>
    <row r="39" spans="2:31" x14ac:dyDescent="0.25">
      <c r="B39" s="155" t="s">
        <v>338</v>
      </c>
      <c r="C39" s="155" t="s">
        <v>339</v>
      </c>
      <c r="AD39" s="1568"/>
      <c r="AE39" s="1528"/>
    </row>
    <row r="40" spans="2:31" x14ac:dyDescent="0.25">
      <c r="B40" s="1217"/>
      <c r="C40" s="1217"/>
      <c r="AD40" s="1568"/>
      <c r="AE40" s="1528"/>
    </row>
    <row r="41" spans="2:31" x14ac:dyDescent="0.25">
      <c r="B41" s="1217"/>
      <c r="C41" s="1217"/>
      <c r="AD41" s="1568"/>
      <c r="AE41" s="1528"/>
    </row>
    <row r="42" spans="2:31" x14ac:dyDescent="0.25">
      <c r="G42" s="1574"/>
      <c r="J42" s="1574"/>
      <c r="M42" s="1574"/>
      <c r="AE42" s="1568"/>
    </row>
    <row r="43" spans="2:31" x14ac:dyDescent="0.25">
      <c r="AE43" s="1575"/>
    </row>
    <row r="45" spans="2:31" x14ac:dyDescent="0.25">
      <c r="B45" s="1297" t="s">
        <v>340</v>
      </c>
      <c r="C45" s="1297"/>
      <c r="D45" s="1576">
        <v>45657</v>
      </c>
    </row>
  </sheetData>
  <sheetProtection formatCells="0" formatColumns="0" formatRows="0" insertColumns="0" insertRows="0"/>
  <mergeCells count="13">
    <mergeCell ref="B28:D28"/>
    <mergeCell ref="B29:D29"/>
    <mergeCell ref="B30:D30"/>
    <mergeCell ref="B31:D31"/>
    <mergeCell ref="B32:AA32"/>
    <mergeCell ref="U2:X2"/>
    <mergeCell ref="B2:B3"/>
    <mergeCell ref="E2:G2"/>
    <mergeCell ref="H2:J2"/>
    <mergeCell ref="K2:M2"/>
    <mergeCell ref="N2:P2"/>
    <mergeCell ref="Q2:T2"/>
    <mergeCell ref="C2:C3"/>
  </mergeCells>
  <pageMargins left="0.7" right="0.7" top="0.75" bottom="0.75" header="0.3" footer="0.3"/>
  <pageSetup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E5BC-5F53-4EE9-A07B-EC24CC9CBDD5}">
  <sheetPr>
    <pageSetUpPr fitToPage="1"/>
  </sheetPr>
  <dimension ref="B1:AE45"/>
  <sheetViews>
    <sheetView showGridLines="0" zoomScaleNormal="100" workbookViewId="0"/>
  </sheetViews>
  <sheetFormatPr defaultColWidth="8.85546875" defaultRowHeight="12" x14ac:dyDescent="0.25"/>
  <cols>
    <col min="1" max="1" width="1.7109375" style="1189" customWidth="1"/>
    <col min="2" max="2" width="20.7109375" style="1189" customWidth="1"/>
    <col min="3" max="3" width="7.7109375" style="1189" customWidth="1"/>
    <col min="4" max="4" width="9.7109375" style="1217" customWidth="1"/>
    <col min="5" max="20" width="6.7109375" style="1217" customWidth="1"/>
    <col min="21" max="27" width="6.7109375" style="1189" customWidth="1"/>
    <col min="28" max="28" width="1.7109375" style="1189" customWidth="1"/>
    <col min="29" max="29" width="9.140625" style="1189" bestFit="1" customWidth="1"/>
    <col min="30" max="31" width="12.42578125" style="1189" bestFit="1" customWidth="1"/>
    <col min="32" max="16384" width="8.85546875" style="1189"/>
  </cols>
  <sheetData>
    <row r="1" spans="2:31" ht="9.9499999999999993" customHeight="1" thickBot="1" x14ac:dyDescent="0.3"/>
    <row r="2" spans="2:31" s="150" customFormat="1" ht="15" customHeight="1" x14ac:dyDescent="0.25">
      <c r="B2" s="2085" t="s">
        <v>310</v>
      </c>
      <c r="C2" s="2074" t="s">
        <v>311</v>
      </c>
      <c r="D2" s="1580" t="s">
        <v>312</v>
      </c>
      <c r="E2" s="2085" t="s">
        <v>313</v>
      </c>
      <c r="F2" s="2086"/>
      <c r="G2" s="2087"/>
      <c r="H2" s="2085" t="s">
        <v>314</v>
      </c>
      <c r="I2" s="2086"/>
      <c r="J2" s="2087"/>
      <c r="K2" s="2085" t="s">
        <v>315</v>
      </c>
      <c r="L2" s="2086"/>
      <c r="M2" s="2087"/>
      <c r="N2" s="2085" t="s">
        <v>316</v>
      </c>
      <c r="O2" s="2086"/>
      <c r="P2" s="2086"/>
      <c r="Q2" s="2085" t="s">
        <v>317</v>
      </c>
      <c r="R2" s="2086"/>
      <c r="S2" s="2086"/>
      <c r="T2" s="2087"/>
      <c r="U2" s="2085" t="s">
        <v>318</v>
      </c>
      <c r="V2" s="2086"/>
      <c r="W2" s="2086"/>
      <c r="X2" s="2087"/>
      <c r="Y2" s="1425"/>
      <c r="Z2" s="1579" t="s">
        <v>319</v>
      </c>
      <c r="AA2" s="1580"/>
    </row>
    <row r="3" spans="2:31" s="150" customFormat="1" ht="15" customHeight="1" x14ac:dyDescent="0.25">
      <c r="B3" s="2091"/>
      <c r="C3" s="2075"/>
      <c r="D3" s="1587" t="s">
        <v>320</v>
      </c>
      <c r="E3" s="1585" t="s">
        <v>321</v>
      </c>
      <c r="F3" s="1586" t="s">
        <v>322</v>
      </c>
      <c r="G3" s="1587" t="s">
        <v>323</v>
      </c>
      <c r="H3" s="1585" t="s">
        <v>321</v>
      </c>
      <c r="I3" s="1586" t="s">
        <v>322</v>
      </c>
      <c r="J3" s="1587" t="s">
        <v>323</v>
      </c>
      <c r="K3" s="1585" t="s">
        <v>321</v>
      </c>
      <c r="L3" s="1586" t="s">
        <v>322</v>
      </c>
      <c r="M3" s="1587" t="s">
        <v>323</v>
      </c>
      <c r="N3" s="1585" t="s">
        <v>321</v>
      </c>
      <c r="O3" s="1586" t="s">
        <v>322</v>
      </c>
      <c r="P3" s="1586" t="s">
        <v>323</v>
      </c>
      <c r="Q3" s="1585" t="s">
        <v>324</v>
      </c>
      <c r="R3" s="1586" t="s">
        <v>111</v>
      </c>
      <c r="S3" s="1586" t="s">
        <v>120</v>
      </c>
      <c r="T3" s="1587" t="s">
        <v>323</v>
      </c>
      <c r="U3" s="1585" t="s">
        <v>324</v>
      </c>
      <c r="V3" s="1586" t="s">
        <v>111</v>
      </c>
      <c r="W3" s="1586" t="s">
        <v>120</v>
      </c>
      <c r="X3" s="1587" t="s">
        <v>323</v>
      </c>
      <c r="Y3" s="1585" t="s">
        <v>325</v>
      </c>
      <c r="Z3" s="1586" t="s">
        <v>326</v>
      </c>
      <c r="AA3" s="1587" t="s">
        <v>323</v>
      </c>
    </row>
    <row r="4" spans="2:31" ht="15" customHeight="1" x14ac:dyDescent="0.25">
      <c r="B4" s="1520"/>
      <c r="C4" s="1521"/>
      <c r="D4" s="1572"/>
      <c r="E4" s="1534"/>
      <c r="F4" s="1377"/>
      <c r="G4" s="1523">
        <f>SUM(E4:F4)</f>
        <v>0</v>
      </c>
      <c r="H4" s="1524"/>
      <c r="I4" s="1377"/>
      <c r="J4" s="1523">
        <f>SUM(H4:I4)</f>
        <v>0</v>
      </c>
      <c r="K4" s="1524"/>
      <c r="L4" s="1377"/>
      <c r="M4" s="1523">
        <f>SUM(K4:L4)</f>
        <v>0</v>
      </c>
      <c r="N4" s="1525">
        <f t="shared" ref="N4:O5" si="0">+E4+H4+K4</f>
        <v>0</v>
      </c>
      <c r="O4" s="1526">
        <f t="shared" si="0"/>
        <v>0</v>
      </c>
      <c r="P4" s="1527">
        <f t="shared" ref="P4:P25" si="1">SUM(N4:O4)</f>
        <v>0</v>
      </c>
      <c r="Q4" s="1524"/>
      <c r="R4" s="1522"/>
      <c r="S4" s="1377"/>
      <c r="T4" s="1523">
        <f>SUM(Q4:S4)</f>
        <v>0</v>
      </c>
      <c r="U4" s="1524"/>
      <c r="V4" s="1522"/>
      <c r="W4" s="1377"/>
      <c r="X4" s="1523">
        <f>SUM(U4:W4)</f>
        <v>0</v>
      </c>
      <c r="Y4" s="1525">
        <f>+T4</f>
        <v>0</v>
      </c>
      <c r="Z4" s="1526">
        <f>+X4</f>
        <v>0</v>
      </c>
      <c r="AA4" s="1523">
        <f t="shared" ref="AA4:AA12" si="2">+T4+X4</f>
        <v>0</v>
      </c>
      <c r="AD4" s="1528"/>
      <c r="AE4" s="1528"/>
    </row>
    <row r="5" spans="2:31" ht="15" customHeight="1" x14ac:dyDescent="0.25">
      <c r="B5" s="1529"/>
      <c r="C5" s="1530"/>
      <c r="D5" s="1577"/>
      <c r="E5" s="1534"/>
      <c r="F5" s="1532"/>
      <c r="G5" s="1533">
        <f t="shared" ref="G5:G12" si="3">SUM(E5:F5)</f>
        <v>0</v>
      </c>
      <c r="H5" s="1534"/>
      <c r="I5" s="1532"/>
      <c r="J5" s="1533">
        <f t="shared" ref="J5:J12" si="4">SUM(H5:I5)</f>
        <v>0</v>
      </c>
      <c r="K5" s="1534"/>
      <c r="L5" s="1532"/>
      <c r="M5" s="1533">
        <f t="shared" ref="M5:M12" si="5">SUM(K5:L5)</f>
        <v>0</v>
      </c>
      <c r="N5" s="1535">
        <f t="shared" si="0"/>
        <v>0</v>
      </c>
      <c r="O5" s="1536">
        <f t="shared" si="0"/>
        <v>0</v>
      </c>
      <c r="P5" s="1537">
        <f t="shared" si="1"/>
        <v>0</v>
      </c>
      <c r="Q5" s="1534"/>
      <c r="R5" s="1531"/>
      <c r="S5" s="1532"/>
      <c r="T5" s="1533">
        <f t="shared" ref="T5:T13" si="6">SUM(Q5:S5)</f>
        <v>0</v>
      </c>
      <c r="U5" s="1534"/>
      <c r="V5" s="1531"/>
      <c r="W5" s="1532"/>
      <c r="X5" s="1533">
        <f t="shared" ref="X5:X25" si="7">SUM(U5:W5)</f>
        <v>0</v>
      </c>
      <c r="Y5" s="1535">
        <f t="shared" ref="Y5:Y25" si="8">+T5</f>
        <v>0</v>
      </c>
      <c r="Z5" s="1536">
        <f t="shared" ref="Z5:Z25" si="9">+X5</f>
        <v>0</v>
      </c>
      <c r="AA5" s="1533">
        <f t="shared" si="2"/>
        <v>0</v>
      </c>
      <c r="AD5" s="1528"/>
      <c r="AE5" s="1528"/>
    </row>
    <row r="6" spans="2:31" ht="15" customHeight="1" x14ac:dyDescent="0.25">
      <c r="B6" s="1529"/>
      <c r="C6" s="1530"/>
      <c r="D6" s="1577"/>
      <c r="E6" s="1534"/>
      <c r="F6" s="1532"/>
      <c r="G6" s="1533">
        <f t="shared" si="3"/>
        <v>0</v>
      </c>
      <c r="H6" s="1534"/>
      <c r="I6" s="1532"/>
      <c r="J6" s="1533">
        <f t="shared" si="4"/>
        <v>0</v>
      </c>
      <c r="K6" s="1534"/>
      <c r="L6" s="1532"/>
      <c r="M6" s="1533">
        <f t="shared" si="5"/>
        <v>0</v>
      </c>
      <c r="N6" s="1535">
        <f>+E6+H6+K6</f>
        <v>0</v>
      </c>
      <c r="O6" s="1536">
        <f>+F6+I6+L6</f>
        <v>0</v>
      </c>
      <c r="P6" s="1537">
        <f t="shared" si="1"/>
        <v>0</v>
      </c>
      <c r="Q6" s="1534"/>
      <c r="R6" s="1531"/>
      <c r="S6" s="1532"/>
      <c r="T6" s="1533">
        <f t="shared" si="6"/>
        <v>0</v>
      </c>
      <c r="U6" s="1534"/>
      <c r="V6" s="1531"/>
      <c r="W6" s="1532"/>
      <c r="X6" s="1533">
        <f t="shared" si="7"/>
        <v>0</v>
      </c>
      <c r="Y6" s="1535">
        <f t="shared" si="8"/>
        <v>0</v>
      </c>
      <c r="Z6" s="1536">
        <f t="shared" si="9"/>
        <v>0</v>
      </c>
      <c r="AA6" s="1533">
        <f t="shared" si="2"/>
        <v>0</v>
      </c>
      <c r="AD6" s="1528"/>
      <c r="AE6" s="1528"/>
    </row>
    <row r="7" spans="2:31" ht="15" customHeight="1" x14ac:dyDescent="0.25">
      <c r="B7" s="1529"/>
      <c r="C7" s="1530"/>
      <c r="D7" s="1577"/>
      <c r="E7" s="1534"/>
      <c r="F7" s="1532"/>
      <c r="G7" s="1533">
        <f t="shared" si="3"/>
        <v>0</v>
      </c>
      <c r="H7" s="1534"/>
      <c r="I7" s="1532"/>
      <c r="J7" s="1533">
        <f t="shared" si="4"/>
        <v>0</v>
      </c>
      <c r="K7" s="1534"/>
      <c r="L7" s="1532"/>
      <c r="M7" s="1533">
        <f t="shared" si="5"/>
        <v>0</v>
      </c>
      <c r="N7" s="1535">
        <f t="shared" ref="N7:O22" si="10">+E7+H7+K7</f>
        <v>0</v>
      </c>
      <c r="O7" s="1536">
        <f t="shared" si="10"/>
        <v>0</v>
      </c>
      <c r="P7" s="1537">
        <f t="shared" si="1"/>
        <v>0</v>
      </c>
      <c r="Q7" s="1534"/>
      <c r="R7" s="1531"/>
      <c r="S7" s="1532"/>
      <c r="T7" s="1533">
        <f t="shared" si="6"/>
        <v>0</v>
      </c>
      <c r="U7" s="1534"/>
      <c r="V7" s="1531"/>
      <c r="W7" s="1532"/>
      <c r="X7" s="1533">
        <f t="shared" si="7"/>
        <v>0</v>
      </c>
      <c r="Y7" s="1535">
        <f t="shared" si="8"/>
        <v>0</v>
      </c>
      <c r="Z7" s="1536">
        <f t="shared" si="9"/>
        <v>0</v>
      </c>
      <c r="AA7" s="1533">
        <f t="shared" si="2"/>
        <v>0</v>
      </c>
      <c r="AD7" s="1528"/>
      <c r="AE7" s="1528"/>
    </row>
    <row r="8" spans="2:31" ht="15" customHeight="1" thickBot="1" x14ac:dyDescent="0.3">
      <c r="B8" s="1529"/>
      <c r="C8" s="1530"/>
      <c r="D8" s="1577"/>
      <c r="E8" s="1534"/>
      <c r="F8" s="1532"/>
      <c r="G8" s="1533">
        <f t="shared" si="3"/>
        <v>0</v>
      </c>
      <c r="H8" s="1534"/>
      <c r="I8" s="1532"/>
      <c r="J8" s="1533">
        <f t="shared" si="4"/>
        <v>0</v>
      </c>
      <c r="K8" s="1534"/>
      <c r="L8" s="1532"/>
      <c r="M8" s="1533">
        <f t="shared" si="5"/>
        <v>0</v>
      </c>
      <c r="N8" s="1535">
        <f t="shared" si="10"/>
        <v>0</v>
      </c>
      <c r="O8" s="1536">
        <f t="shared" si="10"/>
        <v>0</v>
      </c>
      <c r="P8" s="1537">
        <f t="shared" si="1"/>
        <v>0</v>
      </c>
      <c r="Q8" s="1534"/>
      <c r="R8" s="1531"/>
      <c r="S8" s="1532"/>
      <c r="T8" s="1533">
        <f t="shared" si="6"/>
        <v>0</v>
      </c>
      <c r="U8" s="1534"/>
      <c r="V8" s="1531"/>
      <c r="W8" s="1532"/>
      <c r="X8" s="1533">
        <f t="shared" si="7"/>
        <v>0</v>
      </c>
      <c r="Y8" s="1535">
        <f t="shared" si="8"/>
        <v>0</v>
      </c>
      <c r="Z8" s="1536">
        <f t="shared" si="9"/>
        <v>0</v>
      </c>
      <c r="AA8" s="1533">
        <f t="shared" si="2"/>
        <v>0</v>
      </c>
      <c r="AD8" s="1528"/>
      <c r="AE8" s="1528"/>
    </row>
    <row r="9" spans="2:31" ht="15" hidden="1" customHeight="1" thickBot="1" x14ac:dyDescent="0.3">
      <c r="B9" s="1529"/>
      <c r="C9" s="1530"/>
      <c r="D9" s="1577"/>
      <c r="E9" s="1534"/>
      <c r="F9" s="1532"/>
      <c r="G9" s="1533">
        <f t="shared" si="3"/>
        <v>0</v>
      </c>
      <c r="H9" s="1534"/>
      <c r="I9" s="1532"/>
      <c r="J9" s="1533">
        <f t="shared" si="4"/>
        <v>0</v>
      </c>
      <c r="K9" s="1534"/>
      <c r="L9" s="1532"/>
      <c r="M9" s="1533">
        <f t="shared" si="5"/>
        <v>0</v>
      </c>
      <c r="N9" s="1535">
        <f t="shared" si="10"/>
        <v>0</v>
      </c>
      <c r="O9" s="1536">
        <f t="shared" si="10"/>
        <v>0</v>
      </c>
      <c r="P9" s="1537">
        <f t="shared" si="1"/>
        <v>0</v>
      </c>
      <c r="Q9" s="1534"/>
      <c r="R9" s="1531"/>
      <c r="S9" s="1532"/>
      <c r="T9" s="1533">
        <f t="shared" ref="T9:T12" si="11">SUM(Q9:S9)</f>
        <v>0</v>
      </c>
      <c r="U9" s="1534"/>
      <c r="V9" s="1531"/>
      <c r="W9" s="1532"/>
      <c r="X9" s="1533">
        <f t="shared" si="7"/>
        <v>0</v>
      </c>
      <c r="Y9" s="1535">
        <f t="shared" si="8"/>
        <v>0</v>
      </c>
      <c r="Z9" s="1536">
        <f t="shared" si="9"/>
        <v>0</v>
      </c>
      <c r="AA9" s="1533">
        <f t="shared" si="2"/>
        <v>0</v>
      </c>
      <c r="AD9" s="1528"/>
      <c r="AE9" s="1528"/>
    </row>
    <row r="10" spans="2:31" ht="15" hidden="1" customHeight="1" thickBot="1" x14ac:dyDescent="0.3">
      <c r="B10" s="1529"/>
      <c r="C10" s="1530"/>
      <c r="D10" s="1577"/>
      <c r="E10" s="1534"/>
      <c r="F10" s="1532"/>
      <c r="G10" s="1533">
        <f t="shared" si="3"/>
        <v>0</v>
      </c>
      <c r="H10" s="1534"/>
      <c r="I10" s="1532"/>
      <c r="J10" s="1533">
        <f t="shared" si="4"/>
        <v>0</v>
      </c>
      <c r="K10" s="1534"/>
      <c r="L10" s="1532"/>
      <c r="M10" s="1533">
        <f t="shared" si="5"/>
        <v>0</v>
      </c>
      <c r="N10" s="1535">
        <f t="shared" si="10"/>
        <v>0</v>
      </c>
      <c r="O10" s="1536">
        <f t="shared" si="10"/>
        <v>0</v>
      </c>
      <c r="P10" s="1537">
        <f t="shared" si="1"/>
        <v>0</v>
      </c>
      <c r="Q10" s="1534"/>
      <c r="R10" s="1531"/>
      <c r="S10" s="1532"/>
      <c r="T10" s="1533">
        <f t="shared" si="11"/>
        <v>0</v>
      </c>
      <c r="U10" s="1534"/>
      <c r="V10" s="1531"/>
      <c r="W10" s="1532"/>
      <c r="X10" s="1533">
        <f t="shared" si="7"/>
        <v>0</v>
      </c>
      <c r="Y10" s="1535">
        <f t="shared" si="8"/>
        <v>0</v>
      </c>
      <c r="Z10" s="1536">
        <f t="shared" si="9"/>
        <v>0</v>
      </c>
      <c r="AA10" s="1533">
        <f t="shared" si="2"/>
        <v>0</v>
      </c>
      <c r="AD10" s="1528"/>
      <c r="AE10" s="1528"/>
    </row>
    <row r="11" spans="2:31" ht="15" hidden="1" customHeight="1" thickBot="1" x14ac:dyDescent="0.3">
      <c r="B11" s="1529"/>
      <c r="C11" s="1530"/>
      <c r="D11" s="1577"/>
      <c r="E11" s="1534"/>
      <c r="F11" s="1532"/>
      <c r="G11" s="1533">
        <f t="shared" si="3"/>
        <v>0</v>
      </c>
      <c r="H11" s="1534"/>
      <c r="I11" s="1532"/>
      <c r="J11" s="1533">
        <f t="shared" si="4"/>
        <v>0</v>
      </c>
      <c r="K11" s="1534"/>
      <c r="L11" s="1532"/>
      <c r="M11" s="1533">
        <f t="shared" si="5"/>
        <v>0</v>
      </c>
      <c r="N11" s="1535">
        <f t="shared" si="10"/>
        <v>0</v>
      </c>
      <c r="O11" s="1536">
        <f t="shared" si="10"/>
        <v>0</v>
      </c>
      <c r="P11" s="1537">
        <f t="shared" si="1"/>
        <v>0</v>
      </c>
      <c r="Q11" s="1534"/>
      <c r="R11" s="1531"/>
      <c r="S11" s="1532"/>
      <c r="T11" s="1533">
        <f t="shared" si="11"/>
        <v>0</v>
      </c>
      <c r="U11" s="1534"/>
      <c r="V11" s="1531"/>
      <c r="W11" s="1532"/>
      <c r="X11" s="1533">
        <f t="shared" si="7"/>
        <v>0</v>
      </c>
      <c r="Y11" s="1535">
        <f t="shared" si="8"/>
        <v>0</v>
      </c>
      <c r="Z11" s="1536">
        <f t="shared" si="9"/>
        <v>0</v>
      </c>
      <c r="AA11" s="1533">
        <f t="shared" si="2"/>
        <v>0</v>
      </c>
      <c r="AD11" s="1528"/>
      <c r="AE11" s="1528"/>
    </row>
    <row r="12" spans="2:31" ht="15" hidden="1" customHeight="1" thickBot="1" x14ac:dyDescent="0.3">
      <c r="B12" s="1529"/>
      <c r="C12" s="1530"/>
      <c r="D12" s="1577"/>
      <c r="E12" s="1534"/>
      <c r="F12" s="1532"/>
      <c r="G12" s="1533">
        <f t="shared" si="3"/>
        <v>0</v>
      </c>
      <c r="H12" s="1534"/>
      <c r="I12" s="1532"/>
      <c r="J12" s="1533">
        <f t="shared" si="4"/>
        <v>0</v>
      </c>
      <c r="K12" s="1534"/>
      <c r="L12" s="1532"/>
      <c r="M12" s="1533">
        <f t="shared" si="5"/>
        <v>0</v>
      </c>
      <c r="N12" s="1535">
        <f t="shared" si="10"/>
        <v>0</v>
      </c>
      <c r="O12" s="1536">
        <f t="shared" si="10"/>
        <v>0</v>
      </c>
      <c r="P12" s="1537">
        <f t="shared" si="1"/>
        <v>0</v>
      </c>
      <c r="Q12" s="1534"/>
      <c r="R12" s="1531"/>
      <c r="S12" s="1532"/>
      <c r="T12" s="1533">
        <f t="shared" si="11"/>
        <v>0</v>
      </c>
      <c r="U12" s="1534"/>
      <c r="V12" s="1531"/>
      <c r="W12" s="1532"/>
      <c r="X12" s="1533">
        <f t="shared" si="7"/>
        <v>0</v>
      </c>
      <c r="Y12" s="1535">
        <f t="shared" si="8"/>
        <v>0</v>
      </c>
      <c r="Z12" s="1536">
        <f t="shared" si="9"/>
        <v>0</v>
      </c>
      <c r="AA12" s="1533">
        <f t="shared" si="2"/>
        <v>0</v>
      </c>
      <c r="AD12" s="1528"/>
      <c r="AE12" s="1528"/>
    </row>
    <row r="13" spans="2:31" ht="15" hidden="1" customHeight="1" thickBot="1" x14ac:dyDescent="0.3">
      <c r="B13" s="1529"/>
      <c r="C13" s="1530"/>
      <c r="D13" s="1577"/>
      <c r="E13" s="1534"/>
      <c r="F13" s="1532"/>
      <c r="G13" s="1533">
        <f t="shared" ref="G13:G25" si="12">SUM(E13:F13)</f>
        <v>0</v>
      </c>
      <c r="H13" s="1534"/>
      <c r="I13" s="1532"/>
      <c r="J13" s="1533">
        <f t="shared" ref="J13:J25" si="13">SUM(H13:I13)</f>
        <v>0</v>
      </c>
      <c r="K13" s="1534"/>
      <c r="L13" s="1532"/>
      <c r="M13" s="1533">
        <f t="shared" ref="M13:M25" si="14">SUM(K13:L13)</f>
        <v>0</v>
      </c>
      <c r="N13" s="1535">
        <f t="shared" si="10"/>
        <v>0</v>
      </c>
      <c r="O13" s="1536">
        <f t="shared" si="10"/>
        <v>0</v>
      </c>
      <c r="P13" s="1537">
        <f t="shared" si="1"/>
        <v>0</v>
      </c>
      <c r="Q13" s="1534"/>
      <c r="R13" s="1531"/>
      <c r="S13" s="1532"/>
      <c r="T13" s="1533">
        <f t="shared" si="6"/>
        <v>0</v>
      </c>
      <c r="U13" s="1534"/>
      <c r="V13" s="1531"/>
      <c r="W13" s="1532"/>
      <c r="X13" s="1533">
        <f t="shared" si="7"/>
        <v>0</v>
      </c>
      <c r="Y13" s="1535">
        <f t="shared" si="8"/>
        <v>0</v>
      </c>
      <c r="Z13" s="1536">
        <f t="shared" si="9"/>
        <v>0</v>
      </c>
      <c r="AA13" s="1533">
        <f>+T13+X13</f>
        <v>0</v>
      </c>
      <c r="AE13" s="1528"/>
    </row>
    <row r="14" spans="2:31" ht="15" hidden="1" customHeight="1" thickBot="1" x14ac:dyDescent="0.3">
      <c r="B14" s="1529"/>
      <c r="C14" s="1530"/>
      <c r="D14" s="1577"/>
      <c r="E14" s="1534"/>
      <c r="F14" s="1532"/>
      <c r="G14" s="1533">
        <f t="shared" si="12"/>
        <v>0</v>
      </c>
      <c r="H14" s="1534"/>
      <c r="I14" s="1532"/>
      <c r="J14" s="1533">
        <f t="shared" si="13"/>
        <v>0</v>
      </c>
      <c r="K14" s="1534"/>
      <c r="L14" s="1532"/>
      <c r="M14" s="1533">
        <f t="shared" si="14"/>
        <v>0</v>
      </c>
      <c r="N14" s="1535">
        <f t="shared" si="10"/>
        <v>0</v>
      </c>
      <c r="O14" s="1536">
        <f t="shared" si="10"/>
        <v>0</v>
      </c>
      <c r="P14" s="1537">
        <f t="shared" si="1"/>
        <v>0</v>
      </c>
      <c r="Q14" s="1534"/>
      <c r="R14" s="1531"/>
      <c r="S14" s="1532"/>
      <c r="T14" s="1533">
        <f t="shared" ref="T14:T25" si="15">SUM(Q14:S14)</f>
        <v>0</v>
      </c>
      <c r="U14" s="1534"/>
      <c r="V14" s="1531"/>
      <c r="W14" s="1532"/>
      <c r="X14" s="1533">
        <f t="shared" si="7"/>
        <v>0</v>
      </c>
      <c r="Y14" s="1535">
        <f t="shared" si="8"/>
        <v>0</v>
      </c>
      <c r="Z14" s="1536">
        <f t="shared" si="9"/>
        <v>0</v>
      </c>
      <c r="AA14" s="1533">
        <f t="shared" ref="AA14:AA25" si="16">+T14+X14</f>
        <v>0</v>
      </c>
      <c r="AE14" s="1528"/>
    </row>
    <row r="15" spans="2:31" ht="15" hidden="1" customHeight="1" thickBot="1" x14ac:dyDescent="0.3">
      <c r="B15" s="1529"/>
      <c r="C15" s="1530"/>
      <c r="D15" s="1577"/>
      <c r="E15" s="1534"/>
      <c r="F15" s="1532"/>
      <c r="G15" s="1533">
        <f t="shared" si="12"/>
        <v>0</v>
      </c>
      <c r="H15" s="1534"/>
      <c r="I15" s="1532"/>
      <c r="J15" s="1533">
        <f t="shared" si="13"/>
        <v>0</v>
      </c>
      <c r="K15" s="1534"/>
      <c r="L15" s="1532"/>
      <c r="M15" s="1533">
        <f t="shared" si="14"/>
        <v>0</v>
      </c>
      <c r="N15" s="1535">
        <f t="shared" si="10"/>
        <v>0</v>
      </c>
      <c r="O15" s="1536">
        <f t="shared" si="10"/>
        <v>0</v>
      </c>
      <c r="P15" s="1537">
        <f t="shared" si="1"/>
        <v>0</v>
      </c>
      <c r="Q15" s="1534"/>
      <c r="R15" s="1531"/>
      <c r="S15" s="1532"/>
      <c r="T15" s="1533">
        <f t="shared" si="15"/>
        <v>0</v>
      </c>
      <c r="U15" s="1534"/>
      <c r="V15" s="1531"/>
      <c r="W15" s="1532"/>
      <c r="X15" s="1533">
        <f t="shared" si="7"/>
        <v>0</v>
      </c>
      <c r="Y15" s="1535">
        <f t="shared" si="8"/>
        <v>0</v>
      </c>
      <c r="Z15" s="1536">
        <f t="shared" si="9"/>
        <v>0</v>
      </c>
      <c r="AA15" s="1533">
        <f t="shared" si="16"/>
        <v>0</v>
      </c>
      <c r="AE15" s="1528"/>
    </row>
    <row r="16" spans="2:31" ht="15" hidden="1" customHeight="1" thickBot="1" x14ac:dyDescent="0.3">
      <c r="B16" s="1529"/>
      <c r="C16" s="1530"/>
      <c r="D16" s="1577"/>
      <c r="E16" s="1534"/>
      <c r="F16" s="1532"/>
      <c r="G16" s="1533">
        <f t="shared" si="12"/>
        <v>0</v>
      </c>
      <c r="H16" s="1534"/>
      <c r="I16" s="1532"/>
      <c r="J16" s="1533">
        <f t="shared" si="13"/>
        <v>0</v>
      </c>
      <c r="K16" s="1534"/>
      <c r="L16" s="1532"/>
      <c r="M16" s="1533">
        <f t="shared" si="14"/>
        <v>0</v>
      </c>
      <c r="N16" s="1535">
        <f t="shared" si="10"/>
        <v>0</v>
      </c>
      <c r="O16" s="1536">
        <f t="shared" si="10"/>
        <v>0</v>
      </c>
      <c r="P16" s="1537">
        <f t="shared" si="1"/>
        <v>0</v>
      </c>
      <c r="Q16" s="1534"/>
      <c r="R16" s="1531"/>
      <c r="S16" s="1532"/>
      <c r="T16" s="1533">
        <f t="shared" si="15"/>
        <v>0</v>
      </c>
      <c r="U16" s="1534"/>
      <c r="V16" s="1531"/>
      <c r="W16" s="1532"/>
      <c r="X16" s="1533">
        <f t="shared" si="7"/>
        <v>0</v>
      </c>
      <c r="Y16" s="1535">
        <f t="shared" si="8"/>
        <v>0</v>
      </c>
      <c r="Z16" s="1536">
        <f t="shared" si="9"/>
        <v>0</v>
      </c>
      <c r="AA16" s="1533">
        <f t="shared" si="16"/>
        <v>0</v>
      </c>
      <c r="AE16" s="1528"/>
    </row>
    <row r="17" spans="2:31" ht="15" hidden="1" customHeight="1" thickBot="1" x14ac:dyDescent="0.3">
      <c r="B17" s="1529"/>
      <c r="C17" s="1530"/>
      <c r="D17" s="1577"/>
      <c r="E17" s="1534"/>
      <c r="F17" s="1532"/>
      <c r="G17" s="1533">
        <f t="shared" si="12"/>
        <v>0</v>
      </c>
      <c r="H17" s="1534"/>
      <c r="I17" s="1532"/>
      <c r="J17" s="1533">
        <f t="shared" si="13"/>
        <v>0</v>
      </c>
      <c r="K17" s="1534"/>
      <c r="L17" s="1532"/>
      <c r="M17" s="1533">
        <f t="shared" si="14"/>
        <v>0</v>
      </c>
      <c r="N17" s="1535">
        <f t="shared" si="10"/>
        <v>0</v>
      </c>
      <c r="O17" s="1536">
        <f t="shared" si="10"/>
        <v>0</v>
      </c>
      <c r="P17" s="1537">
        <f t="shared" si="1"/>
        <v>0</v>
      </c>
      <c r="Q17" s="1534"/>
      <c r="R17" s="1531"/>
      <c r="S17" s="1532"/>
      <c r="T17" s="1533">
        <f t="shared" si="15"/>
        <v>0</v>
      </c>
      <c r="U17" s="1534"/>
      <c r="V17" s="1531"/>
      <c r="W17" s="1532"/>
      <c r="X17" s="1533">
        <f t="shared" si="7"/>
        <v>0</v>
      </c>
      <c r="Y17" s="1535">
        <f t="shared" si="8"/>
        <v>0</v>
      </c>
      <c r="Z17" s="1536">
        <f t="shared" si="9"/>
        <v>0</v>
      </c>
      <c r="AA17" s="1533">
        <f t="shared" si="16"/>
        <v>0</v>
      </c>
      <c r="AE17" s="1528"/>
    </row>
    <row r="18" spans="2:31" ht="15" hidden="1" customHeight="1" thickBot="1" x14ac:dyDescent="0.3">
      <c r="B18" s="1529"/>
      <c r="C18" s="1530"/>
      <c r="D18" s="1577"/>
      <c r="E18" s="1534"/>
      <c r="F18" s="1532"/>
      <c r="G18" s="1533">
        <f t="shared" si="12"/>
        <v>0</v>
      </c>
      <c r="H18" s="1534"/>
      <c r="I18" s="1532"/>
      <c r="J18" s="1533">
        <f t="shared" si="13"/>
        <v>0</v>
      </c>
      <c r="K18" s="1534"/>
      <c r="L18" s="1532"/>
      <c r="M18" s="1533">
        <f t="shared" si="14"/>
        <v>0</v>
      </c>
      <c r="N18" s="1535">
        <f t="shared" si="10"/>
        <v>0</v>
      </c>
      <c r="O18" s="1536">
        <f t="shared" si="10"/>
        <v>0</v>
      </c>
      <c r="P18" s="1537">
        <f t="shared" si="1"/>
        <v>0</v>
      </c>
      <c r="Q18" s="1534"/>
      <c r="R18" s="1531"/>
      <c r="S18" s="1532"/>
      <c r="T18" s="1533">
        <f t="shared" si="15"/>
        <v>0</v>
      </c>
      <c r="U18" s="1534"/>
      <c r="V18" s="1531"/>
      <c r="W18" s="1532"/>
      <c r="X18" s="1533">
        <f t="shared" si="7"/>
        <v>0</v>
      </c>
      <c r="Y18" s="1535">
        <f t="shared" si="8"/>
        <v>0</v>
      </c>
      <c r="Z18" s="1536">
        <f t="shared" si="9"/>
        <v>0</v>
      </c>
      <c r="AA18" s="1533">
        <f t="shared" si="16"/>
        <v>0</v>
      </c>
      <c r="AE18" s="1528"/>
    </row>
    <row r="19" spans="2:31" ht="15" hidden="1" customHeight="1" thickBot="1" x14ac:dyDescent="0.3">
      <c r="B19" s="1529"/>
      <c r="C19" s="1530"/>
      <c r="D19" s="1577"/>
      <c r="E19" s="1534"/>
      <c r="F19" s="1532"/>
      <c r="G19" s="1533">
        <f t="shared" si="12"/>
        <v>0</v>
      </c>
      <c r="H19" s="1534"/>
      <c r="I19" s="1532"/>
      <c r="J19" s="1533">
        <f t="shared" si="13"/>
        <v>0</v>
      </c>
      <c r="K19" s="1534"/>
      <c r="L19" s="1532"/>
      <c r="M19" s="1533">
        <f t="shared" si="14"/>
        <v>0</v>
      </c>
      <c r="N19" s="1535">
        <f t="shared" si="10"/>
        <v>0</v>
      </c>
      <c r="O19" s="1536">
        <f t="shared" si="10"/>
        <v>0</v>
      </c>
      <c r="P19" s="1537">
        <f t="shared" si="1"/>
        <v>0</v>
      </c>
      <c r="Q19" s="1534"/>
      <c r="R19" s="1531"/>
      <c r="S19" s="1532"/>
      <c r="T19" s="1533">
        <f t="shared" si="15"/>
        <v>0</v>
      </c>
      <c r="U19" s="1534"/>
      <c r="V19" s="1531"/>
      <c r="W19" s="1532"/>
      <c r="X19" s="1533">
        <f t="shared" si="7"/>
        <v>0</v>
      </c>
      <c r="Y19" s="1535">
        <f t="shared" si="8"/>
        <v>0</v>
      </c>
      <c r="Z19" s="1536">
        <f t="shared" si="9"/>
        <v>0</v>
      </c>
      <c r="AA19" s="1533">
        <f t="shared" si="16"/>
        <v>0</v>
      </c>
      <c r="AE19" s="1528"/>
    </row>
    <row r="20" spans="2:31" ht="15" hidden="1" customHeight="1" thickBot="1" x14ac:dyDescent="0.3">
      <c r="B20" s="1529"/>
      <c r="C20" s="1530"/>
      <c r="D20" s="1577"/>
      <c r="E20" s="1534"/>
      <c r="F20" s="1532"/>
      <c r="G20" s="1533">
        <f t="shared" si="12"/>
        <v>0</v>
      </c>
      <c r="H20" s="1534"/>
      <c r="I20" s="1532"/>
      <c r="J20" s="1533">
        <f t="shared" si="13"/>
        <v>0</v>
      </c>
      <c r="K20" s="1534"/>
      <c r="L20" s="1532"/>
      <c r="M20" s="1533">
        <f t="shared" si="14"/>
        <v>0</v>
      </c>
      <c r="N20" s="1535">
        <f t="shared" si="10"/>
        <v>0</v>
      </c>
      <c r="O20" s="1536">
        <f t="shared" si="10"/>
        <v>0</v>
      </c>
      <c r="P20" s="1537">
        <f t="shared" si="1"/>
        <v>0</v>
      </c>
      <c r="Q20" s="1534"/>
      <c r="R20" s="1531"/>
      <c r="S20" s="1532"/>
      <c r="T20" s="1533">
        <f t="shared" si="15"/>
        <v>0</v>
      </c>
      <c r="U20" s="1534"/>
      <c r="V20" s="1531"/>
      <c r="W20" s="1532"/>
      <c r="X20" s="1533">
        <f t="shared" si="7"/>
        <v>0</v>
      </c>
      <c r="Y20" s="1535">
        <f t="shared" si="8"/>
        <v>0</v>
      </c>
      <c r="Z20" s="1536">
        <f t="shared" si="9"/>
        <v>0</v>
      </c>
      <c r="AA20" s="1533">
        <f t="shared" si="16"/>
        <v>0</v>
      </c>
      <c r="AE20" s="1528"/>
    </row>
    <row r="21" spans="2:31" ht="15" hidden="1" customHeight="1" thickBot="1" x14ac:dyDescent="0.3">
      <c r="B21" s="1529"/>
      <c r="C21" s="1530"/>
      <c r="D21" s="1577"/>
      <c r="E21" s="1534"/>
      <c r="F21" s="1532"/>
      <c r="G21" s="1533">
        <f t="shared" si="12"/>
        <v>0</v>
      </c>
      <c r="H21" s="1534"/>
      <c r="I21" s="1532"/>
      <c r="J21" s="1533">
        <f t="shared" si="13"/>
        <v>0</v>
      </c>
      <c r="K21" s="1534"/>
      <c r="L21" s="1532"/>
      <c r="M21" s="1533">
        <f t="shared" si="14"/>
        <v>0</v>
      </c>
      <c r="N21" s="1535">
        <f t="shared" si="10"/>
        <v>0</v>
      </c>
      <c r="O21" s="1536">
        <f t="shared" si="10"/>
        <v>0</v>
      </c>
      <c r="P21" s="1537">
        <f t="shared" si="1"/>
        <v>0</v>
      </c>
      <c r="Q21" s="1534"/>
      <c r="R21" s="1531"/>
      <c r="S21" s="1532"/>
      <c r="T21" s="1533">
        <f t="shared" si="15"/>
        <v>0</v>
      </c>
      <c r="U21" s="1534"/>
      <c r="V21" s="1531"/>
      <c r="W21" s="1532"/>
      <c r="X21" s="1533">
        <f t="shared" si="7"/>
        <v>0</v>
      </c>
      <c r="Y21" s="1535">
        <f t="shared" si="8"/>
        <v>0</v>
      </c>
      <c r="Z21" s="1536">
        <f t="shared" si="9"/>
        <v>0</v>
      </c>
      <c r="AA21" s="1533">
        <f t="shared" si="16"/>
        <v>0</v>
      </c>
      <c r="AE21" s="1528"/>
    </row>
    <row r="22" spans="2:31" ht="15" hidden="1" customHeight="1" thickBot="1" x14ac:dyDescent="0.3">
      <c r="B22" s="1529"/>
      <c r="C22" s="1530"/>
      <c r="D22" s="1577"/>
      <c r="E22" s="1534"/>
      <c r="F22" s="1532"/>
      <c r="G22" s="1533">
        <f t="shared" si="12"/>
        <v>0</v>
      </c>
      <c r="H22" s="1534"/>
      <c r="I22" s="1532"/>
      <c r="J22" s="1533">
        <f t="shared" si="13"/>
        <v>0</v>
      </c>
      <c r="K22" s="1534"/>
      <c r="L22" s="1532"/>
      <c r="M22" s="1533">
        <f t="shared" si="14"/>
        <v>0</v>
      </c>
      <c r="N22" s="1535">
        <f t="shared" si="10"/>
        <v>0</v>
      </c>
      <c r="O22" s="1536">
        <f t="shared" si="10"/>
        <v>0</v>
      </c>
      <c r="P22" s="1537">
        <f t="shared" si="1"/>
        <v>0</v>
      </c>
      <c r="Q22" s="1534"/>
      <c r="R22" s="1531"/>
      <c r="S22" s="1532"/>
      <c r="T22" s="1533">
        <f t="shared" si="15"/>
        <v>0</v>
      </c>
      <c r="U22" s="1534"/>
      <c r="V22" s="1531"/>
      <c r="W22" s="1532"/>
      <c r="X22" s="1533">
        <f t="shared" si="7"/>
        <v>0</v>
      </c>
      <c r="Y22" s="1535">
        <f t="shared" si="8"/>
        <v>0</v>
      </c>
      <c r="Z22" s="1536">
        <f t="shared" si="9"/>
        <v>0</v>
      </c>
      <c r="AA22" s="1533">
        <f t="shared" si="16"/>
        <v>0</v>
      </c>
      <c r="AE22" s="1528"/>
    </row>
    <row r="23" spans="2:31" ht="15" hidden="1" customHeight="1" thickBot="1" x14ac:dyDescent="0.3">
      <c r="B23" s="1529"/>
      <c r="C23" s="1530"/>
      <c r="D23" s="1577"/>
      <c r="E23" s="1534"/>
      <c r="F23" s="1532"/>
      <c r="G23" s="1533">
        <f t="shared" si="12"/>
        <v>0</v>
      </c>
      <c r="H23" s="1534"/>
      <c r="I23" s="1532"/>
      <c r="J23" s="1533">
        <f t="shared" si="13"/>
        <v>0</v>
      </c>
      <c r="K23" s="1534"/>
      <c r="L23" s="1532"/>
      <c r="M23" s="1533">
        <f t="shared" si="14"/>
        <v>0</v>
      </c>
      <c r="N23" s="1535">
        <f t="shared" ref="N23:O25" si="17">+E23+H23+K23</f>
        <v>0</v>
      </c>
      <c r="O23" s="1536">
        <f t="shared" si="17"/>
        <v>0</v>
      </c>
      <c r="P23" s="1537">
        <f t="shared" si="1"/>
        <v>0</v>
      </c>
      <c r="Q23" s="1534"/>
      <c r="R23" s="1531"/>
      <c r="S23" s="1532"/>
      <c r="T23" s="1533">
        <f t="shared" si="15"/>
        <v>0</v>
      </c>
      <c r="U23" s="1534"/>
      <c r="V23" s="1531"/>
      <c r="W23" s="1532"/>
      <c r="X23" s="1533">
        <f t="shared" si="7"/>
        <v>0</v>
      </c>
      <c r="Y23" s="1535">
        <f t="shared" si="8"/>
        <v>0</v>
      </c>
      <c r="Z23" s="1536">
        <f t="shared" si="9"/>
        <v>0</v>
      </c>
      <c r="AA23" s="1533">
        <f t="shared" si="16"/>
        <v>0</v>
      </c>
      <c r="AE23" s="1528"/>
    </row>
    <row r="24" spans="2:31" ht="15" hidden="1" customHeight="1" thickBot="1" x14ac:dyDescent="0.3">
      <c r="B24" s="1529"/>
      <c r="C24" s="1530"/>
      <c r="D24" s="1577"/>
      <c r="E24" s="1534"/>
      <c r="F24" s="1532"/>
      <c r="G24" s="1533">
        <f t="shared" si="12"/>
        <v>0</v>
      </c>
      <c r="H24" s="1534"/>
      <c r="I24" s="1532"/>
      <c r="J24" s="1533">
        <f t="shared" si="13"/>
        <v>0</v>
      </c>
      <c r="K24" s="1534"/>
      <c r="L24" s="1532"/>
      <c r="M24" s="1533">
        <f t="shared" si="14"/>
        <v>0</v>
      </c>
      <c r="N24" s="1535">
        <f t="shared" si="17"/>
        <v>0</v>
      </c>
      <c r="O24" s="1536">
        <f t="shared" si="17"/>
        <v>0</v>
      </c>
      <c r="P24" s="1537">
        <f t="shared" si="1"/>
        <v>0</v>
      </c>
      <c r="Q24" s="1534"/>
      <c r="R24" s="1531"/>
      <c r="S24" s="1532"/>
      <c r="T24" s="1533">
        <f t="shared" si="15"/>
        <v>0</v>
      </c>
      <c r="U24" s="1534"/>
      <c r="V24" s="1531"/>
      <c r="W24" s="1532"/>
      <c r="X24" s="1533">
        <f t="shared" si="7"/>
        <v>0</v>
      </c>
      <c r="Y24" s="1535">
        <f t="shared" si="8"/>
        <v>0</v>
      </c>
      <c r="Z24" s="1536">
        <f t="shared" si="9"/>
        <v>0</v>
      </c>
      <c r="AA24" s="1533">
        <f t="shared" si="16"/>
        <v>0</v>
      </c>
      <c r="AE24" s="1538"/>
    </row>
    <row r="25" spans="2:31" ht="15" hidden="1" customHeight="1" thickBot="1" x14ac:dyDescent="0.3">
      <c r="B25" s="1529"/>
      <c r="C25" s="1530"/>
      <c r="D25" s="1577"/>
      <c r="E25" s="1649"/>
      <c r="F25" s="1532"/>
      <c r="G25" s="1533">
        <f t="shared" si="12"/>
        <v>0</v>
      </c>
      <c r="H25" s="1534"/>
      <c r="I25" s="1532"/>
      <c r="J25" s="1533">
        <f t="shared" si="13"/>
        <v>0</v>
      </c>
      <c r="K25" s="1534"/>
      <c r="L25" s="1532"/>
      <c r="M25" s="1533">
        <f t="shared" si="14"/>
        <v>0</v>
      </c>
      <c r="N25" s="1535">
        <f t="shared" si="17"/>
        <v>0</v>
      </c>
      <c r="O25" s="1536">
        <f t="shared" si="17"/>
        <v>0</v>
      </c>
      <c r="P25" s="1537">
        <f t="shared" si="1"/>
        <v>0</v>
      </c>
      <c r="Q25" s="1534"/>
      <c r="R25" s="1531"/>
      <c r="S25" s="1532"/>
      <c r="T25" s="1533">
        <f t="shared" si="15"/>
        <v>0</v>
      </c>
      <c r="U25" s="1534"/>
      <c r="V25" s="1531"/>
      <c r="W25" s="1532"/>
      <c r="X25" s="1533">
        <f t="shared" si="7"/>
        <v>0</v>
      </c>
      <c r="Y25" s="1535">
        <f t="shared" si="8"/>
        <v>0</v>
      </c>
      <c r="Z25" s="1536">
        <f t="shared" si="9"/>
        <v>0</v>
      </c>
      <c r="AA25" s="1533">
        <f t="shared" si="16"/>
        <v>0</v>
      </c>
      <c r="AE25" s="1528"/>
    </row>
    <row r="26" spans="2:31" s="150" customFormat="1" ht="15" customHeight="1" thickBot="1" x14ac:dyDescent="0.3">
      <c r="B26" s="1581" t="s">
        <v>327</v>
      </c>
      <c r="C26" s="1582"/>
      <c r="D26" s="1578">
        <f t="shared" ref="D26:AA26" si="18">SUM(D4:D25)</f>
        <v>0</v>
      </c>
      <c r="E26" s="1543">
        <f t="shared" si="18"/>
        <v>0</v>
      </c>
      <c r="F26" s="1540">
        <f t="shared" si="18"/>
        <v>0</v>
      </c>
      <c r="G26" s="1542">
        <f t="shared" si="18"/>
        <v>0</v>
      </c>
      <c r="H26" s="1543">
        <f t="shared" si="18"/>
        <v>0</v>
      </c>
      <c r="I26" s="1540">
        <f t="shared" si="18"/>
        <v>0</v>
      </c>
      <c r="J26" s="1542">
        <f t="shared" si="18"/>
        <v>0</v>
      </c>
      <c r="K26" s="1543">
        <f t="shared" si="18"/>
        <v>0</v>
      </c>
      <c r="L26" s="1540">
        <f t="shared" si="18"/>
        <v>0</v>
      </c>
      <c r="M26" s="1542">
        <f t="shared" si="18"/>
        <v>0</v>
      </c>
      <c r="N26" s="1543">
        <f t="shared" si="18"/>
        <v>0</v>
      </c>
      <c r="O26" s="1540">
        <f t="shared" si="18"/>
        <v>0</v>
      </c>
      <c r="P26" s="1544">
        <f>SUM(P4:P25)</f>
        <v>0</v>
      </c>
      <c r="Q26" s="1543">
        <f t="shared" si="18"/>
        <v>0</v>
      </c>
      <c r="R26" s="1541">
        <f t="shared" si="18"/>
        <v>0</v>
      </c>
      <c r="S26" s="1540">
        <f t="shared" si="18"/>
        <v>0</v>
      </c>
      <c r="T26" s="1542">
        <f t="shared" si="18"/>
        <v>0</v>
      </c>
      <c r="U26" s="1543">
        <f t="shared" si="18"/>
        <v>0</v>
      </c>
      <c r="V26" s="1541">
        <f t="shared" si="18"/>
        <v>0</v>
      </c>
      <c r="W26" s="1540">
        <f t="shared" si="18"/>
        <v>0</v>
      </c>
      <c r="X26" s="1542">
        <f t="shared" si="18"/>
        <v>0</v>
      </c>
      <c r="Y26" s="1543">
        <f t="shared" si="18"/>
        <v>0</v>
      </c>
      <c r="Z26" s="1543">
        <f t="shared" si="18"/>
        <v>0</v>
      </c>
      <c r="AA26" s="1545">
        <f t="shared" si="18"/>
        <v>0</v>
      </c>
      <c r="AE26" s="1546"/>
    </row>
    <row r="27" spans="2:31" s="1553" customFormat="1" ht="15" customHeight="1" thickBot="1" x14ac:dyDescent="0.3">
      <c r="B27" s="1583" t="s">
        <v>328</v>
      </c>
      <c r="C27" s="1584"/>
      <c r="D27" s="1550"/>
      <c r="E27" s="1551" t="e">
        <f t="shared" ref="E27:P27" si="19">+E26/$P$26</f>
        <v>#DIV/0!</v>
      </c>
      <c r="F27" s="1549" t="e">
        <f t="shared" si="19"/>
        <v>#DIV/0!</v>
      </c>
      <c r="G27" s="1549" t="e">
        <f t="shared" si="19"/>
        <v>#DIV/0!</v>
      </c>
      <c r="H27" s="1549" t="e">
        <f t="shared" si="19"/>
        <v>#DIV/0!</v>
      </c>
      <c r="I27" s="1549" t="e">
        <f t="shared" si="19"/>
        <v>#DIV/0!</v>
      </c>
      <c r="J27" s="1549" t="e">
        <f t="shared" si="19"/>
        <v>#DIV/0!</v>
      </c>
      <c r="K27" s="1549" t="e">
        <f t="shared" si="19"/>
        <v>#DIV/0!</v>
      </c>
      <c r="L27" s="1549" t="e">
        <f t="shared" si="19"/>
        <v>#DIV/0!</v>
      </c>
      <c r="M27" s="1549" t="e">
        <f t="shared" si="19"/>
        <v>#DIV/0!</v>
      </c>
      <c r="N27" s="1549" t="e">
        <f t="shared" si="19"/>
        <v>#DIV/0!</v>
      </c>
      <c r="O27" s="1549" t="e">
        <f t="shared" si="19"/>
        <v>#DIV/0!</v>
      </c>
      <c r="P27" s="1550" t="e">
        <f t="shared" si="19"/>
        <v>#DIV/0!</v>
      </c>
      <c r="Q27" s="1551" t="e">
        <f t="shared" ref="Q27:AA27" si="20">+Q26/$AA$26</f>
        <v>#DIV/0!</v>
      </c>
      <c r="R27" s="1549" t="e">
        <f t="shared" si="20"/>
        <v>#DIV/0!</v>
      </c>
      <c r="S27" s="1549" t="e">
        <f t="shared" si="20"/>
        <v>#DIV/0!</v>
      </c>
      <c r="T27" s="1552" t="e">
        <f t="shared" si="20"/>
        <v>#DIV/0!</v>
      </c>
      <c r="U27" s="1551" t="e">
        <f t="shared" si="20"/>
        <v>#DIV/0!</v>
      </c>
      <c r="V27" s="1549" t="e">
        <f t="shared" si="20"/>
        <v>#DIV/0!</v>
      </c>
      <c r="W27" s="1549" t="e">
        <f t="shared" si="20"/>
        <v>#DIV/0!</v>
      </c>
      <c r="X27" s="1552" t="e">
        <f t="shared" si="20"/>
        <v>#DIV/0!</v>
      </c>
      <c r="Y27" s="1551" t="e">
        <f t="shared" si="20"/>
        <v>#DIV/0!</v>
      </c>
      <c r="Z27" s="1549" t="e">
        <f t="shared" si="20"/>
        <v>#DIV/0!</v>
      </c>
      <c r="AA27" s="1552" t="e">
        <f t="shared" si="20"/>
        <v>#DIV/0!</v>
      </c>
      <c r="AE27" s="1554"/>
    </row>
    <row r="28" spans="2:31" s="592" customFormat="1" ht="15" customHeight="1" x14ac:dyDescent="0.25">
      <c r="B28" s="2092" t="s">
        <v>329</v>
      </c>
      <c r="C28" s="2093"/>
      <c r="D28" s="2094"/>
      <c r="E28" s="1557">
        <f t="shared" ref="E28:X28" si="21">+E26/$D$34</f>
        <v>0</v>
      </c>
      <c r="F28" s="1555">
        <f t="shared" si="21"/>
        <v>0</v>
      </c>
      <c r="G28" s="1555">
        <f t="shared" si="21"/>
        <v>0</v>
      </c>
      <c r="H28" s="1555">
        <f t="shared" si="21"/>
        <v>0</v>
      </c>
      <c r="I28" s="1555">
        <f t="shared" si="21"/>
        <v>0</v>
      </c>
      <c r="J28" s="1555">
        <f t="shared" si="21"/>
        <v>0</v>
      </c>
      <c r="K28" s="1555">
        <f t="shared" si="21"/>
        <v>0</v>
      </c>
      <c r="L28" s="1555">
        <f t="shared" si="21"/>
        <v>0</v>
      </c>
      <c r="M28" s="1555">
        <f t="shared" si="21"/>
        <v>0</v>
      </c>
      <c r="N28" s="1555">
        <f t="shared" si="21"/>
        <v>0</v>
      </c>
      <c r="O28" s="1555">
        <f t="shared" si="21"/>
        <v>0</v>
      </c>
      <c r="P28" s="1556">
        <f t="shared" si="21"/>
        <v>0</v>
      </c>
      <c r="Q28" s="1557">
        <f t="shared" si="21"/>
        <v>0</v>
      </c>
      <c r="R28" s="1555">
        <f t="shared" si="21"/>
        <v>0</v>
      </c>
      <c r="S28" s="1555">
        <f t="shared" si="21"/>
        <v>0</v>
      </c>
      <c r="T28" s="1558">
        <f t="shared" si="21"/>
        <v>0</v>
      </c>
      <c r="U28" s="1557">
        <f t="shared" si="21"/>
        <v>0</v>
      </c>
      <c r="V28" s="1555">
        <f t="shared" si="21"/>
        <v>0</v>
      </c>
      <c r="W28" s="1555">
        <f t="shared" si="21"/>
        <v>0</v>
      </c>
      <c r="X28" s="1558">
        <f t="shared" si="21"/>
        <v>0</v>
      </c>
      <c r="Y28" s="1557">
        <f>+Y26/$D$34</f>
        <v>0</v>
      </c>
      <c r="Z28" s="1555">
        <f>+Z26/$D$34</f>
        <v>0</v>
      </c>
      <c r="AA28" s="1558">
        <f>+AA26/$D$34</f>
        <v>0</v>
      </c>
      <c r="AE28" s="1559"/>
    </row>
    <row r="29" spans="2:31" s="592" customFormat="1" ht="15" customHeight="1" thickBot="1" x14ac:dyDescent="0.3">
      <c r="B29" s="2095" t="s">
        <v>330</v>
      </c>
      <c r="C29" s="2096"/>
      <c r="D29" s="2097"/>
      <c r="E29" s="1562">
        <f t="shared" ref="E29:X29" si="22">+E26/$D$35</f>
        <v>0</v>
      </c>
      <c r="F29" s="1560">
        <f t="shared" si="22"/>
        <v>0</v>
      </c>
      <c r="G29" s="1560">
        <f t="shared" si="22"/>
        <v>0</v>
      </c>
      <c r="H29" s="1560">
        <f t="shared" si="22"/>
        <v>0</v>
      </c>
      <c r="I29" s="1560">
        <f t="shared" si="22"/>
        <v>0</v>
      </c>
      <c r="J29" s="1560">
        <f t="shared" si="22"/>
        <v>0</v>
      </c>
      <c r="K29" s="1560">
        <f t="shared" si="22"/>
        <v>0</v>
      </c>
      <c r="L29" s="1560">
        <f t="shared" si="22"/>
        <v>0</v>
      </c>
      <c r="M29" s="1560">
        <f t="shared" si="22"/>
        <v>0</v>
      </c>
      <c r="N29" s="1560">
        <f t="shared" si="22"/>
        <v>0</v>
      </c>
      <c r="O29" s="1560">
        <f t="shared" si="22"/>
        <v>0</v>
      </c>
      <c r="P29" s="1561">
        <f t="shared" si="22"/>
        <v>0</v>
      </c>
      <c r="Q29" s="1562">
        <f t="shared" si="22"/>
        <v>0</v>
      </c>
      <c r="R29" s="1560">
        <f t="shared" si="22"/>
        <v>0</v>
      </c>
      <c r="S29" s="1560">
        <f t="shared" si="22"/>
        <v>0</v>
      </c>
      <c r="T29" s="1563">
        <f t="shared" si="22"/>
        <v>0</v>
      </c>
      <c r="U29" s="1562">
        <f t="shared" si="22"/>
        <v>0</v>
      </c>
      <c r="V29" s="1560">
        <f t="shared" si="22"/>
        <v>0</v>
      </c>
      <c r="W29" s="1560">
        <f t="shared" si="22"/>
        <v>0</v>
      </c>
      <c r="X29" s="1563">
        <f t="shared" si="22"/>
        <v>0</v>
      </c>
      <c r="Y29" s="1562">
        <f>+Y26/$D$35</f>
        <v>0</v>
      </c>
      <c r="Z29" s="1560">
        <f>+Z26/$D$35</f>
        <v>0</v>
      </c>
      <c r="AA29" s="1563">
        <f>+AA26/$D$35</f>
        <v>0</v>
      </c>
      <c r="AE29" s="1559"/>
    </row>
    <row r="30" spans="2:31" s="592" customFormat="1" ht="15" customHeight="1" x14ac:dyDescent="0.25">
      <c r="B30" s="2092" t="s">
        <v>331</v>
      </c>
      <c r="C30" s="2093"/>
      <c r="D30" s="2098"/>
      <c r="E30" s="1564">
        <f t="shared" ref="E30:AA30" si="23">+E26/$D$36</f>
        <v>0</v>
      </c>
      <c r="F30" s="1564">
        <f t="shared" si="23"/>
        <v>0</v>
      </c>
      <c r="G30" s="1564">
        <f t="shared" si="23"/>
        <v>0</v>
      </c>
      <c r="H30" s="1564">
        <f t="shared" si="23"/>
        <v>0</v>
      </c>
      <c r="I30" s="1564">
        <f t="shared" si="23"/>
        <v>0</v>
      </c>
      <c r="J30" s="1564">
        <f t="shared" si="23"/>
        <v>0</v>
      </c>
      <c r="K30" s="1564">
        <f t="shared" si="23"/>
        <v>0</v>
      </c>
      <c r="L30" s="1564">
        <f t="shared" si="23"/>
        <v>0</v>
      </c>
      <c r="M30" s="1564">
        <f t="shared" si="23"/>
        <v>0</v>
      </c>
      <c r="N30" s="1564">
        <f t="shared" si="23"/>
        <v>0</v>
      </c>
      <c r="O30" s="1564">
        <f t="shared" si="23"/>
        <v>0</v>
      </c>
      <c r="P30" s="1564">
        <f t="shared" si="23"/>
        <v>0</v>
      </c>
      <c r="Q30" s="1564">
        <f t="shared" si="23"/>
        <v>0</v>
      </c>
      <c r="R30" s="1564">
        <f t="shared" si="23"/>
        <v>0</v>
      </c>
      <c r="S30" s="1564">
        <f t="shared" si="23"/>
        <v>0</v>
      </c>
      <c r="T30" s="1564">
        <f t="shared" si="23"/>
        <v>0</v>
      </c>
      <c r="U30" s="1564">
        <f t="shared" si="23"/>
        <v>0</v>
      </c>
      <c r="V30" s="1564">
        <f t="shared" si="23"/>
        <v>0</v>
      </c>
      <c r="W30" s="1564">
        <f t="shared" si="23"/>
        <v>0</v>
      </c>
      <c r="X30" s="1564">
        <f t="shared" si="23"/>
        <v>0</v>
      </c>
      <c r="Y30" s="1564">
        <f t="shared" si="23"/>
        <v>0</v>
      </c>
      <c r="Z30" s="1564">
        <f t="shared" si="23"/>
        <v>0</v>
      </c>
      <c r="AA30" s="1565">
        <f t="shared" si="23"/>
        <v>0</v>
      </c>
      <c r="AE30" s="1559"/>
    </row>
    <row r="31" spans="2:31" s="592" customFormat="1" ht="15" customHeight="1" thickBot="1" x14ac:dyDescent="0.3">
      <c r="B31" s="2095" t="s">
        <v>332</v>
      </c>
      <c r="C31" s="2096"/>
      <c r="D31" s="2099"/>
      <c r="E31" s="1560">
        <f t="shared" ref="E31:AA31" si="24">+E26/$D$37</f>
        <v>0</v>
      </c>
      <c r="F31" s="1560">
        <f t="shared" si="24"/>
        <v>0</v>
      </c>
      <c r="G31" s="1560">
        <f t="shared" si="24"/>
        <v>0</v>
      </c>
      <c r="H31" s="1560">
        <f t="shared" si="24"/>
        <v>0</v>
      </c>
      <c r="I31" s="1560">
        <f t="shared" si="24"/>
        <v>0</v>
      </c>
      <c r="J31" s="1560">
        <f t="shared" si="24"/>
        <v>0</v>
      </c>
      <c r="K31" s="1560">
        <f t="shared" si="24"/>
        <v>0</v>
      </c>
      <c r="L31" s="1560">
        <f t="shared" si="24"/>
        <v>0</v>
      </c>
      <c r="M31" s="1560">
        <f t="shared" si="24"/>
        <v>0</v>
      </c>
      <c r="N31" s="1560">
        <f t="shared" si="24"/>
        <v>0</v>
      </c>
      <c r="O31" s="1560">
        <f t="shared" si="24"/>
        <v>0</v>
      </c>
      <c r="P31" s="1560">
        <f t="shared" si="24"/>
        <v>0</v>
      </c>
      <c r="Q31" s="1560">
        <f t="shared" si="24"/>
        <v>0</v>
      </c>
      <c r="R31" s="1560">
        <f t="shared" si="24"/>
        <v>0</v>
      </c>
      <c r="S31" s="1560">
        <f t="shared" si="24"/>
        <v>0</v>
      </c>
      <c r="T31" s="1560">
        <f t="shared" si="24"/>
        <v>0</v>
      </c>
      <c r="U31" s="1560">
        <f t="shared" si="24"/>
        <v>0</v>
      </c>
      <c r="V31" s="1560">
        <f t="shared" si="24"/>
        <v>0</v>
      </c>
      <c r="W31" s="1560">
        <f t="shared" si="24"/>
        <v>0</v>
      </c>
      <c r="X31" s="1560">
        <f t="shared" si="24"/>
        <v>0</v>
      </c>
      <c r="Y31" s="1560">
        <f t="shared" si="24"/>
        <v>0</v>
      </c>
      <c r="Z31" s="1560">
        <f t="shared" si="24"/>
        <v>0</v>
      </c>
      <c r="AA31" s="1563">
        <f t="shared" si="24"/>
        <v>0</v>
      </c>
      <c r="AE31" s="1559"/>
    </row>
    <row r="32" spans="2:31" s="566" customFormat="1" ht="15" customHeight="1" x14ac:dyDescent="0.25">
      <c r="B32" s="2088" t="s">
        <v>333</v>
      </c>
      <c r="C32" s="2089"/>
      <c r="D32" s="2089"/>
      <c r="E32" s="2089"/>
      <c r="F32" s="2089"/>
      <c r="G32" s="2089"/>
      <c r="H32" s="2089"/>
      <c r="I32" s="2089"/>
      <c r="J32" s="2089"/>
      <c r="K32" s="2089"/>
      <c r="L32" s="2089"/>
      <c r="M32" s="2089"/>
      <c r="N32" s="2089"/>
      <c r="O32" s="2089"/>
      <c r="P32" s="2090"/>
      <c r="AD32" s="1566"/>
      <c r="AE32" s="1567"/>
    </row>
    <row r="33" spans="2:31" x14ac:dyDescent="0.25">
      <c r="B33" s="1217"/>
      <c r="C33" s="1217"/>
      <c r="AD33" s="1568"/>
      <c r="AE33" s="1528"/>
    </row>
    <row r="34" spans="2:31" x14ac:dyDescent="0.25">
      <c r="B34" s="1569" t="s">
        <v>334</v>
      </c>
      <c r="C34" s="1570"/>
      <c r="D34" s="1571">
        <f>234/12</f>
        <v>19.5</v>
      </c>
      <c r="AD34" s="1568"/>
      <c r="AE34" s="1528"/>
    </row>
    <row r="35" spans="2:31" x14ac:dyDescent="0.25">
      <c r="B35" s="1356" t="s">
        <v>335</v>
      </c>
      <c r="C35" s="1572"/>
      <c r="D35" s="1573">
        <f>177/12</f>
        <v>14.75</v>
      </c>
      <c r="AD35" s="1568"/>
      <c r="AE35" s="1528"/>
    </row>
    <row r="36" spans="2:31" x14ac:dyDescent="0.25">
      <c r="B36" s="1569" t="s">
        <v>336</v>
      </c>
      <c r="C36" s="1570"/>
      <c r="D36" s="1571">
        <f>300/12</f>
        <v>25</v>
      </c>
      <c r="AD36" s="1568"/>
      <c r="AE36" s="1528"/>
    </row>
    <row r="37" spans="2:31" x14ac:dyDescent="0.25">
      <c r="B37" s="1356" t="s">
        <v>337</v>
      </c>
      <c r="C37" s="1572"/>
      <c r="D37" s="1573">
        <f>270/12</f>
        <v>22.5</v>
      </c>
      <c r="AD37" s="1568"/>
      <c r="AE37" s="1528"/>
    </row>
    <row r="38" spans="2:31" x14ac:dyDescent="0.25">
      <c r="B38" s="1217"/>
      <c r="C38" s="1217"/>
      <c r="AD38" s="1568"/>
      <c r="AE38" s="1528"/>
    </row>
    <row r="39" spans="2:31" x14ac:dyDescent="0.25">
      <c r="B39" s="155" t="s">
        <v>338</v>
      </c>
      <c r="C39" s="155" t="s">
        <v>339</v>
      </c>
      <c r="AD39" s="1568"/>
      <c r="AE39" s="1528"/>
    </row>
    <row r="40" spans="2:31" x14ac:dyDescent="0.25">
      <c r="B40" s="1217"/>
      <c r="C40" s="1217"/>
      <c r="AD40" s="1568"/>
      <c r="AE40" s="1528"/>
    </row>
    <row r="41" spans="2:31" x14ac:dyDescent="0.25">
      <c r="B41" s="1217"/>
      <c r="C41" s="1217"/>
      <c r="AD41" s="1568"/>
      <c r="AE41" s="1528"/>
    </row>
    <row r="42" spans="2:31" x14ac:dyDescent="0.25">
      <c r="G42" s="1574"/>
      <c r="J42" s="1574"/>
      <c r="M42" s="1574"/>
      <c r="AE42" s="1568"/>
    </row>
    <row r="43" spans="2:31" x14ac:dyDescent="0.25">
      <c r="AE43" s="1575"/>
    </row>
    <row r="45" spans="2:31" x14ac:dyDescent="0.25">
      <c r="B45" s="1297" t="s">
        <v>340</v>
      </c>
      <c r="C45" s="1297"/>
      <c r="D45" s="1576">
        <v>45657</v>
      </c>
    </row>
  </sheetData>
  <sheetProtection formatCells="0" formatColumns="0" formatRows="0" insertColumns="0" insertRows="0"/>
  <mergeCells count="13">
    <mergeCell ref="U2:X2"/>
    <mergeCell ref="B32:P32"/>
    <mergeCell ref="B2:B3"/>
    <mergeCell ref="E2:G2"/>
    <mergeCell ref="H2:J2"/>
    <mergeCell ref="K2:M2"/>
    <mergeCell ref="N2:P2"/>
    <mergeCell ref="Q2:T2"/>
    <mergeCell ref="C2:C3"/>
    <mergeCell ref="B28:D28"/>
    <mergeCell ref="B29:D29"/>
    <mergeCell ref="B30:D30"/>
    <mergeCell ref="B31:D31"/>
  </mergeCells>
  <pageMargins left="0.7" right="0.7" top="0.75" bottom="0.75" header="0.3" footer="0.3"/>
  <pageSetup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C54B-CC9E-47BB-967F-B42FE58037C0}">
  <dimension ref="B1:G9"/>
  <sheetViews>
    <sheetView showGridLines="0" zoomScaleNormal="100" workbookViewId="0"/>
  </sheetViews>
  <sheetFormatPr defaultColWidth="8.85546875" defaultRowHeight="12" x14ac:dyDescent="0.2"/>
  <cols>
    <col min="1" max="1" width="1.7109375" style="106" customWidth="1"/>
    <col min="2" max="2" width="20.7109375" style="106" customWidth="1"/>
    <col min="3" max="3" width="13.7109375" style="107" customWidth="1"/>
    <col min="4" max="4" width="10.7109375" style="107" bestFit="1" customWidth="1"/>
    <col min="5" max="5" width="5.7109375" style="107" bestFit="1" customWidth="1"/>
    <col min="6" max="6" width="13.7109375" style="107" customWidth="1"/>
    <col min="7" max="7" width="8.28515625" style="107" bestFit="1" customWidth="1"/>
    <col min="8" max="16384" width="8.85546875" style="106"/>
  </cols>
  <sheetData>
    <row r="1" spans="2:7" ht="9.9499999999999993" customHeight="1" thickBot="1" x14ac:dyDescent="0.25"/>
    <row r="2" spans="2:7" ht="12.75" thickBot="1" x14ac:dyDescent="0.25">
      <c r="B2" s="398" t="s">
        <v>341</v>
      </c>
      <c r="C2" s="351" t="s">
        <v>342</v>
      </c>
      <c r="D2" s="2100" t="s">
        <v>343</v>
      </c>
      <c r="E2" s="2100"/>
      <c r="F2" s="351" t="s">
        <v>344</v>
      </c>
      <c r="G2" s="399" t="s">
        <v>345</v>
      </c>
    </row>
    <row r="3" spans="2:7" x14ac:dyDescent="0.2">
      <c r="B3" s="400" t="s">
        <v>346</v>
      </c>
      <c r="C3" s="401">
        <v>20000000</v>
      </c>
      <c r="D3" s="402">
        <v>14400000</v>
      </c>
      <c r="E3" s="413">
        <f>+D3/C3</f>
        <v>0.72</v>
      </c>
      <c r="F3" s="414">
        <f>+C3-D3</f>
        <v>5600000</v>
      </c>
      <c r="G3" s="1679">
        <v>45930</v>
      </c>
    </row>
    <row r="4" spans="2:7" x14ac:dyDescent="0.2">
      <c r="B4" s="353" t="s">
        <v>347</v>
      </c>
      <c r="C4" s="403">
        <v>20000000</v>
      </c>
      <c r="D4" s="159">
        <v>10500000</v>
      </c>
      <c r="E4" s="415">
        <f>+D4/C4</f>
        <v>0.52500000000000002</v>
      </c>
      <c r="F4" s="416">
        <f>+C4-D4</f>
        <v>9500000</v>
      </c>
      <c r="G4" s="1680">
        <v>45802</v>
      </c>
    </row>
    <row r="5" spans="2:7" x14ac:dyDescent="0.2">
      <c r="B5" s="353" t="s">
        <v>348</v>
      </c>
      <c r="C5" s="403">
        <v>15000000</v>
      </c>
      <c r="D5" s="159">
        <v>4500000</v>
      </c>
      <c r="E5" s="415">
        <f>+D5/C5</f>
        <v>0.3</v>
      </c>
      <c r="F5" s="416">
        <f>+C5-D5</f>
        <v>10500000</v>
      </c>
      <c r="G5" s="1680">
        <v>45481</v>
      </c>
    </row>
    <row r="6" spans="2:7" x14ac:dyDescent="0.2">
      <c r="B6" s="353" t="s">
        <v>349</v>
      </c>
      <c r="C6" s="404">
        <v>15000000</v>
      </c>
      <c r="D6" s="405">
        <v>1600000</v>
      </c>
      <c r="E6" s="417">
        <f>+D6/C6</f>
        <v>0.10666666666666667</v>
      </c>
      <c r="F6" s="418">
        <f>+C6-D6</f>
        <v>13400000</v>
      </c>
      <c r="G6" s="1681"/>
    </row>
    <row r="7" spans="2:7" x14ac:dyDescent="0.2">
      <c r="B7" s="406" t="s">
        <v>128</v>
      </c>
      <c r="C7" s="407">
        <f>SUM(C3:C6)</f>
        <v>70000000</v>
      </c>
      <c r="D7" s="407">
        <f>SUM(D3:D6)</f>
        <v>31000000</v>
      </c>
      <c r="E7" s="419">
        <f>+D7/C7</f>
        <v>0.44285714285714284</v>
      </c>
      <c r="F7" s="420">
        <f>SUM(F3:F6)</f>
        <v>39000000</v>
      </c>
      <c r="G7" s="408"/>
    </row>
    <row r="8" spans="2:7" x14ac:dyDescent="0.2">
      <c r="B8" s="353" t="s">
        <v>52</v>
      </c>
      <c r="C8" s="404">
        <v>22500000</v>
      </c>
      <c r="D8" s="404">
        <v>10434085</v>
      </c>
      <c r="E8" s="404"/>
      <c r="F8" s="421">
        <f>C8-D8</f>
        <v>12065915</v>
      </c>
      <c r="G8" s="1678" t="s">
        <v>350</v>
      </c>
    </row>
    <row r="9" spans="2:7" s="110" customFormat="1" ht="12.75" thickBot="1" x14ac:dyDescent="0.25">
      <c r="B9" s="409" t="s">
        <v>128</v>
      </c>
      <c r="C9" s="410">
        <f>+C7+C8</f>
        <v>92500000</v>
      </c>
      <c r="D9" s="410">
        <f>+D7+D8</f>
        <v>41434085</v>
      </c>
      <c r="E9" s="411"/>
      <c r="F9" s="422">
        <f>+F7+F8</f>
        <v>51065915</v>
      </c>
      <c r="G9" s="412"/>
    </row>
  </sheetData>
  <sheetProtection formatCells="0" formatColumns="0" formatRows="0" insertColumns="0" insertRows="0"/>
  <mergeCells count="1">
    <mergeCell ref="D2:E2"/>
  </mergeCells>
  <pageMargins left="0.7" right="0.7" top="0.75" bottom="0.75" header="0.3" footer="0.3"/>
  <pageSetup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E68F-DB8A-4476-81B1-83ED6DC61827}">
  <dimension ref="B1:G10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1.7109375" style="446" customWidth="1"/>
    <col min="2" max="2" width="29.42578125" style="446" bestFit="1" customWidth="1"/>
    <col min="3" max="3" width="11.7109375" style="446" bestFit="1" customWidth="1"/>
    <col min="4" max="7" width="12.28515625" style="446" customWidth="1"/>
    <col min="8" max="16384" width="9.140625" style="446"/>
  </cols>
  <sheetData>
    <row r="1" spans="2:7" ht="9.9499999999999993" customHeight="1" thickBot="1" x14ac:dyDescent="0.3"/>
    <row r="2" spans="2:7" x14ac:dyDescent="0.25">
      <c r="B2" s="447"/>
      <c r="C2" s="2101" t="s">
        <v>351</v>
      </c>
      <c r="D2" s="2102"/>
      <c r="E2" s="2103"/>
      <c r="F2" s="2102" t="s">
        <v>352</v>
      </c>
      <c r="G2" s="2104"/>
    </row>
    <row r="3" spans="2:7" ht="15.75" thickBot="1" x14ac:dyDescent="0.3">
      <c r="B3" s="448"/>
      <c r="C3" s="449">
        <v>2023</v>
      </c>
      <c r="D3" s="450">
        <v>2024</v>
      </c>
      <c r="E3" s="451">
        <v>2025</v>
      </c>
      <c r="F3" s="450" t="s">
        <v>70</v>
      </c>
      <c r="G3" s="452" t="s">
        <v>353</v>
      </c>
    </row>
    <row r="4" spans="2:7" x14ac:dyDescent="0.25">
      <c r="B4" s="453" t="s">
        <v>354</v>
      </c>
      <c r="C4" s="454">
        <v>0</v>
      </c>
      <c r="D4" s="455">
        <v>0</v>
      </c>
      <c r="E4" s="456">
        <v>0</v>
      </c>
      <c r="F4" s="455">
        <v>0</v>
      </c>
      <c r="G4" s="457">
        <v>0</v>
      </c>
    </row>
    <row r="5" spans="2:7" x14ac:dyDescent="0.25">
      <c r="B5" s="453" t="s">
        <v>355</v>
      </c>
      <c r="C5" s="458"/>
      <c r="D5" s="455"/>
      <c r="E5" s="456"/>
      <c r="F5" s="455"/>
      <c r="G5" s="457"/>
    </row>
    <row r="6" spans="2:7" x14ac:dyDescent="0.25">
      <c r="B6" s="459" t="s">
        <v>356</v>
      </c>
      <c r="C6" s="458"/>
      <c r="D6" s="455">
        <v>0</v>
      </c>
      <c r="E6" s="456">
        <v>0</v>
      </c>
      <c r="F6" s="455">
        <v>0</v>
      </c>
      <c r="G6" s="457">
        <v>0</v>
      </c>
    </row>
    <row r="7" spans="2:7" x14ac:dyDescent="0.25">
      <c r="B7" s="459" t="s">
        <v>357</v>
      </c>
      <c r="C7" s="458"/>
      <c r="D7" s="455">
        <v>0</v>
      </c>
      <c r="E7" s="456">
        <v>0</v>
      </c>
      <c r="F7" s="455">
        <v>0</v>
      </c>
      <c r="G7" s="457">
        <v>0</v>
      </c>
    </row>
    <row r="8" spans="2:7" ht="15.75" thickBot="1" x14ac:dyDescent="0.3">
      <c r="B8" s="460" t="s">
        <v>358</v>
      </c>
      <c r="C8" s="461"/>
      <c r="D8" s="462">
        <v>0</v>
      </c>
      <c r="E8" s="463">
        <v>0</v>
      </c>
      <c r="F8" s="462">
        <v>0</v>
      </c>
      <c r="G8" s="464">
        <v>0</v>
      </c>
    </row>
    <row r="9" spans="2:7" ht="16.5" thickTop="1" thickBot="1" x14ac:dyDescent="0.3">
      <c r="B9" s="465" t="s">
        <v>359</v>
      </c>
      <c r="C9" s="467">
        <f>SUM(C6:C8)</f>
        <v>0</v>
      </c>
      <c r="D9" s="467">
        <f>SUM(D6:D8)</f>
        <v>0</v>
      </c>
      <c r="E9" s="468">
        <f t="shared" ref="E9:G9" si="0">SUM(E6:E8)</f>
        <v>0</v>
      </c>
      <c r="F9" s="467">
        <f t="shared" si="0"/>
        <v>0</v>
      </c>
      <c r="G9" s="469">
        <f t="shared" si="0"/>
        <v>0</v>
      </c>
    </row>
    <row r="10" spans="2:7" ht="15.75" thickBot="1" x14ac:dyDescent="0.3">
      <c r="B10" s="466" t="s">
        <v>360</v>
      </c>
      <c r="C10" s="470">
        <f>C4+C9</f>
        <v>0</v>
      </c>
      <c r="D10" s="470">
        <f>D4+D9</f>
        <v>0</v>
      </c>
      <c r="E10" s="471">
        <f t="shared" ref="E10:G10" si="1">E4+E9</f>
        <v>0</v>
      </c>
      <c r="F10" s="470">
        <f t="shared" si="1"/>
        <v>0</v>
      </c>
      <c r="G10" s="472">
        <f t="shared" si="1"/>
        <v>0</v>
      </c>
    </row>
  </sheetData>
  <sheetProtection formatCells="0" formatColumns="0" formatRows="0" insertColumns="0" insertRows="0"/>
  <mergeCells count="2">
    <mergeCell ref="C2:E2"/>
    <mergeCell ref="F2:G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80FB8-87EE-4A82-8E61-A20E04212E68}">
  <sheetPr>
    <pageSetUpPr fitToPage="1"/>
  </sheetPr>
  <dimension ref="B1:Z122"/>
  <sheetViews>
    <sheetView showGridLines="0" zoomScaleNormal="100" workbookViewId="0"/>
  </sheetViews>
  <sheetFormatPr defaultColWidth="9.140625" defaultRowHeight="12" x14ac:dyDescent="0.25"/>
  <cols>
    <col min="1" max="1" width="1.7109375" style="1189" customWidth="1"/>
    <col min="2" max="2" width="18.28515625" style="1189" customWidth="1"/>
    <col min="3" max="3" width="7.42578125" style="1189" bestFit="1" customWidth="1"/>
    <col min="4" max="4" width="6.42578125" style="1189" bestFit="1" customWidth="1"/>
    <col min="5" max="5" width="8" style="1189" bestFit="1" customWidth="1"/>
    <col min="6" max="6" width="3.7109375" style="1189" bestFit="1" customWidth="1"/>
    <col min="7" max="7" width="12.7109375" style="1189" hidden="1" customWidth="1"/>
    <col min="8" max="8" width="12.7109375" style="1217" hidden="1" customWidth="1"/>
    <col min="9" max="14" width="12.7109375" style="1189" customWidth="1"/>
    <col min="15" max="15" width="12.7109375" style="1189" hidden="1" customWidth="1"/>
    <col min="16" max="16" width="1.7109375" style="1189" customWidth="1"/>
    <col min="17" max="17" width="1.7109375" style="1190" customWidth="1"/>
    <col min="18" max="18" width="11.140625" style="1189" customWidth="1"/>
    <col min="19" max="23" width="9.140625" style="1189"/>
    <col min="24" max="24" width="10.42578125" style="1189" customWidth="1"/>
    <col min="25" max="25" width="14.28515625" style="1189" bestFit="1" customWidth="1"/>
    <col min="26" max="16384" width="9.140625" style="1189"/>
  </cols>
  <sheetData>
    <row r="1" spans="2:18" ht="9.9499999999999993" customHeight="1" thickBot="1" x14ac:dyDescent="0.3">
      <c r="B1" s="2185"/>
      <c r="C1" s="2185"/>
      <c r="D1" s="2185"/>
      <c r="E1" s="2185"/>
      <c r="F1" s="2185"/>
      <c r="G1" s="2185"/>
      <c r="H1" s="2185"/>
      <c r="I1" s="2185"/>
      <c r="J1" s="2185"/>
      <c r="K1" s="2185"/>
      <c r="L1" s="2185"/>
      <c r="M1" s="2185"/>
      <c r="N1" s="2185"/>
      <c r="O1" s="2186"/>
    </row>
    <row r="2" spans="2:18" ht="11.25" customHeight="1" x14ac:dyDescent="0.25">
      <c r="B2" s="1989" t="s">
        <v>361</v>
      </c>
      <c r="C2" s="1990"/>
      <c r="D2" s="1990"/>
      <c r="E2" s="1990"/>
      <c r="F2" s="2189" t="s">
        <v>261</v>
      </c>
      <c r="G2" s="264" t="s">
        <v>362</v>
      </c>
      <c r="H2" s="265" t="s">
        <v>362</v>
      </c>
      <c r="I2" s="265" t="s">
        <v>362</v>
      </c>
      <c r="J2" s="265" t="s">
        <v>362</v>
      </c>
      <c r="K2" s="264" t="s">
        <v>362</v>
      </c>
      <c r="L2" s="265" t="s">
        <v>362</v>
      </c>
      <c r="M2" s="266" t="str">
        <f>+L2</f>
        <v>Type</v>
      </c>
      <c r="N2" s="266" t="s">
        <v>214</v>
      </c>
      <c r="O2" s="266" t="s">
        <v>214</v>
      </c>
    </row>
    <row r="3" spans="2:18" ht="11.25" customHeight="1" x14ac:dyDescent="0.25">
      <c r="B3" s="2187"/>
      <c r="C3" s="2188"/>
      <c r="D3" s="2188"/>
      <c r="E3" s="2188"/>
      <c r="F3" s="2190"/>
      <c r="G3" s="267" t="s">
        <v>262</v>
      </c>
      <c r="H3" s="268" t="s">
        <v>262</v>
      </c>
      <c r="I3" s="268" t="s">
        <v>262</v>
      </c>
      <c r="J3" s="268" t="s">
        <v>262</v>
      </c>
      <c r="K3" s="269">
        <v>3</v>
      </c>
      <c r="L3" s="270">
        <v>3</v>
      </c>
      <c r="M3" s="271" t="s">
        <v>363</v>
      </c>
      <c r="N3" s="271" t="s">
        <v>262</v>
      </c>
      <c r="O3" s="271" t="s">
        <v>262</v>
      </c>
    </row>
    <row r="4" spans="2:18" ht="11.25" customHeight="1" thickBot="1" x14ac:dyDescent="0.3">
      <c r="B4" s="2192" t="s">
        <v>364</v>
      </c>
      <c r="C4" s="2193"/>
      <c r="D4" s="2193"/>
      <c r="E4" s="2193"/>
      <c r="F4" s="2191"/>
      <c r="G4" s="272">
        <v>44561</v>
      </c>
      <c r="H4" s="273">
        <v>44926</v>
      </c>
      <c r="I4" s="273">
        <v>45291</v>
      </c>
      <c r="J4" s="273">
        <v>45657</v>
      </c>
      <c r="K4" s="272">
        <v>45382</v>
      </c>
      <c r="L4" s="273">
        <v>45747</v>
      </c>
      <c r="M4" s="1413">
        <f>+L4</f>
        <v>45747</v>
      </c>
      <c r="N4" s="1701">
        <v>46022</v>
      </c>
      <c r="O4" s="1701">
        <v>46387</v>
      </c>
      <c r="Q4" s="1191" t="s">
        <v>365</v>
      </c>
    </row>
    <row r="5" spans="2:18" ht="11.25" customHeight="1" x14ac:dyDescent="0.25">
      <c r="B5" s="2194" t="s">
        <v>366</v>
      </c>
      <c r="C5" s="2195"/>
      <c r="D5" s="2195"/>
      <c r="E5" s="2195"/>
      <c r="F5" s="263"/>
      <c r="G5" s="262">
        <v>0</v>
      </c>
      <c r="H5" s="261">
        <v>0</v>
      </c>
      <c r="I5" s="261">
        <v>0</v>
      </c>
      <c r="J5" s="261">
        <v>0</v>
      </c>
      <c r="K5" s="260">
        <v>0</v>
      </c>
      <c r="L5" s="259">
        <v>0</v>
      </c>
      <c r="M5" s="1414">
        <f>+J5-K5+L5</f>
        <v>0</v>
      </c>
      <c r="N5" s="258">
        <v>0</v>
      </c>
      <c r="O5" s="257">
        <v>0</v>
      </c>
    </row>
    <row r="6" spans="2:18" ht="11.25" customHeight="1" x14ac:dyDescent="0.25">
      <c r="B6" s="2109" t="s">
        <v>367</v>
      </c>
      <c r="C6" s="2110"/>
      <c r="D6" s="2110"/>
      <c r="E6" s="2110"/>
      <c r="F6" s="253"/>
      <c r="G6" s="256" t="str">
        <f t="shared" ref="G6:O6" si="0">IF(G5=0,"",G7/G5)</f>
        <v/>
      </c>
      <c r="H6" s="255" t="str">
        <f t="shared" si="0"/>
        <v/>
      </c>
      <c r="I6" s="255" t="str">
        <f t="shared" si="0"/>
        <v/>
      </c>
      <c r="J6" s="255" t="str">
        <f t="shared" si="0"/>
        <v/>
      </c>
      <c r="K6" s="256" t="str">
        <f t="shared" si="0"/>
        <v/>
      </c>
      <c r="L6" s="255" t="str">
        <f t="shared" si="0"/>
        <v/>
      </c>
      <c r="M6" s="254" t="str">
        <f t="shared" si="0"/>
        <v/>
      </c>
      <c r="N6" s="254" t="str">
        <f t="shared" si="0"/>
        <v/>
      </c>
      <c r="O6" s="254" t="str">
        <f t="shared" si="0"/>
        <v/>
      </c>
    </row>
    <row r="7" spans="2:18" ht="11.25" customHeight="1" x14ac:dyDescent="0.25">
      <c r="B7" s="2180" t="s">
        <v>368</v>
      </c>
      <c r="C7" s="2172"/>
      <c r="D7" s="2172"/>
      <c r="E7" s="2172"/>
      <c r="F7" s="224"/>
      <c r="G7" s="235">
        <v>0</v>
      </c>
      <c r="H7" s="113">
        <v>0</v>
      </c>
      <c r="I7" s="113">
        <v>0</v>
      </c>
      <c r="J7" s="113">
        <v>0</v>
      </c>
      <c r="K7" s="235">
        <v>0</v>
      </c>
      <c r="L7" s="113">
        <v>0</v>
      </c>
      <c r="M7" s="1415">
        <f>J7-K7+L7</f>
        <v>0</v>
      </c>
      <c r="N7" s="234">
        <v>0</v>
      </c>
      <c r="O7" s="234">
        <v>0</v>
      </c>
    </row>
    <row r="8" spans="2:18" ht="11.25" customHeight="1" x14ac:dyDescent="0.25">
      <c r="B8" s="2181" t="s">
        <v>369</v>
      </c>
      <c r="C8" s="2182"/>
      <c r="D8" s="2182"/>
      <c r="E8" s="2182"/>
      <c r="F8" s="228"/>
      <c r="G8" s="242">
        <v>0</v>
      </c>
      <c r="H8" s="108">
        <v>0</v>
      </c>
      <c r="I8" s="108">
        <v>0</v>
      </c>
      <c r="J8" s="108">
        <v>0</v>
      </c>
      <c r="K8" s="242">
        <v>0</v>
      </c>
      <c r="L8" s="108">
        <v>0</v>
      </c>
      <c r="M8" s="1416">
        <f>J8-K8+L8</f>
        <v>0</v>
      </c>
      <c r="N8" s="241">
        <v>0</v>
      </c>
      <c r="O8" s="241">
        <v>0</v>
      </c>
    </row>
    <row r="9" spans="2:18" ht="11.25" customHeight="1" x14ac:dyDescent="0.25">
      <c r="B9" s="2109" t="s">
        <v>370</v>
      </c>
      <c r="C9" s="2110"/>
      <c r="D9" s="2110"/>
      <c r="E9" s="2110"/>
      <c r="F9" s="253"/>
      <c r="G9" s="252">
        <f t="shared" ref="G9:O9" si="1">SUM(G7:G8)</f>
        <v>0</v>
      </c>
      <c r="H9" s="251">
        <f t="shared" si="1"/>
        <v>0</v>
      </c>
      <c r="I9" s="251">
        <f t="shared" si="1"/>
        <v>0</v>
      </c>
      <c r="J9" s="251">
        <f t="shared" si="1"/>
        <v>0</v>
      </c>
      <c r="K9" s="252">
        <f t="shared" si="1"/>
        <v>0</v>
      </c>
      <c r="L9" s="251">
        <f t="shared" si="1"/>
        <v>0</v>
      </c>
      <c r="M9" s="1417">
        <f t="shared" si="1"/>
        <v>0</v>
      </c>
      <c r="N9" s="250">
        <f t="shared" si="1"/>
        <v>0</v>
      </c>
      <c r="O9" s="250">
        <f t="shared" si="1"/>
        <v>0</v>
      </c>
    </row>
    <row r="10" spans="2:18" ht="11.25" customHeight="1" x14ac:dyDescent="0.25">
      <c r="B10" s="2180" t="s">
        <v>371</v>
      </c>
      <c r="C10" s="2172"/>
      <c r="D10" s="2172"/>
      <c r="E10" s="2172"/>
      <c r="F10" s="224"/>
      <c r="G10" s="235">
        <v>0</v>
      </c>
      <c r="H10" s="113">
        <v>0</v>
      </c>
      <c r="I10" s="113">
        <v>0</v>
      </c>
      <c r="J10" s="113">
        <v>0</v>
      </c>
      <c r="K10" s="235">
        <v>0</v>
      </c>
      <c r="L10" s="113"/>
      <c r="M10" s="1415">
        <f>J10-K10+L10</f>
        <v>0</v>
      </c>
      <c r="N10" s="234"/>
      <c r="O10" s="234"/>
    </row>
    <row r="11" spans="2:18" ht="11.25" customHeight="1" x14ac:dyDescent="0.25">
      <c r="B11" s="2181" t="s">
        <v>372</v>
      </c>
      <c r="C11" s="2182"/>
      <c r="D11" s="2182"/>
      <c r="E11" s="2182"/>
      <c r="F11" s="224"/>
      <c r="G11" s="235">
        <v>0</v>
      </c>
      <c r="H11" s="113">
        <v>0</v>
      </c>
      <c r="I11" s="113">
        <v>0</v>
      </c>
      <c r="J11" s="113">
        <v>0</v>
      </c>
      <c r="K11" s="235">
        <v>0</v>
      </c>
      <c r="L11" s="113"/>
      <c r="M11" s="1415">
        <f>J11-K11+L11</f>
        <v>0</v>
      </c>
      <c r="N11" s="241"/>
      <c r="O11" s="241"/>
    </row>
    <row r="12" spans="2:18" ht="11.25" customHeight="1" thickBot="1" x14ac:dyDescent="0.3">
      <c r="B12" s="2183" t="s">
        <v>373</v>
      </c>
      <c r="C12" s="2184"/>
      <c r="D12" s="2184"/>
      <c r="E12" s="2184"/>
      <c r="F12" s="249"/>
      <c r="G12" s="248">
        <f t="shared" ref="G12:O12" si="2">SUM(G10:G11)</f>
        <v>0</v>
      </c>
      <c r="H12" s="247">
        <f t="shared" si="2"/>
        <v>0</v>
      </c>
      <c r="I12" s="247">
        <f t="shared" si="2"/>
        <v>0</v>
      </c>
      <c r="J12" s="247">
        <f t="shared" si="2"/>
        <v>0</v>
      </c>
      <c r="K12" s="248">
        <f t="shared" si="2"/>
        <v>0</v>
      </c>
      <c r="L12" s="247">
        <f t="shared" si="2"/>
        <v>0</v>
      </c>
      <c r="M12" s="1418">
        <f t="shared" si="2"/>
        <v>0</v>
      </c>
      <c r="N12" s="246">
        <f t="shared" si="2"/>
        <v>0</v>
      </c>
      <c r="O12" s="246">
        <f t="shared" si="2"/>
        <v>0</v>
      </c>
    </row>
    <row r="13" spans="2:18" s="150" customFormat="1" ht="11.25" customHeight="1" thickBot="1" x14ac:dyDescent="0.3">
      <c r="B13" s="2156" t="s">
        <v>374</v>
      </c>
      <c r="C13" s="2157"/>
      <c r="D13" s="2157"/>
      <c r="E13" s="2157"/>
      <c r="F13" s="274"/>
      <c r="G13" s="275">
        <f t="shared" ref="G13:O13" si="3">G9-G12</f>
        <v>0</v>
      </c>
      <c r="H13" s="276">
        <f t="shared" si="3"/>
        <v>0</v>
      </c>
      <c r="I13" s="276">
        <f t="shared" si="3"/>
        <v>0</v>
      </c>
      <c r="J13" s="276">
        <f t="shared" si="3"/>
        <v>0</v>
      </c>
      <c r="K13" s="275">
        <f t="shared" si="3"/>
        <v>0</v>
      </c>
      <c r="L13" s="276">
        <f t="shared" si="3"/>
        <v>0</v>
      </c>
      <c r="M13" s="1419">
        <f t="shared" si="3"/>
        <v>0</v>
      </c>
      <c r="N13" s="277">
        <f t="shared" si="3"/>
        <v>0</v>
      </c>
      <c r="O13" s="1409">
        <f t="shared" si="3"/>
        <v>0</v>
      </c>
      <c r="Q13" s="1192"/>
    </row>
    <row r="14" spans="2:18" ht="11.25" customHeight="1" x14ac:dyDescent="0.25">
      <c r="B14" s="2171" t="s">
        <v>375</v>
      </c>
      <c r="C14" s="2172"/>
      <c r="D14" s="2172"/>
      <c r="E14" s="2172"/>
      <c r="F14" s="224"/>
      <c r="G14" s="235">
        <v>0</v>
      </c>
      <c r="H14" s="113">
        <v>0</v>
      </c>
      <c r="I14" s="113">
        <v>0</v>
      </c>
      <c r="J14" s="113">
        <v>0</v>
      </c>
      <c r="K14" s="235">
        <v>0</v>
      </c>
      <c r="L14" s="113">
        <v>0</v>
      </c>
      <c r="M14" s="1415">
        <f>J14-K14+L14</f>
        <v>0</v>
      </c>
      <c r="N14" s="234">
        <v>0</v>
      </c>
      <c r="O14" s="234">
        <v>0</v>
      </c>
      <c r="R14" s="239" t="s">
        <v>376</v>
      </c>
    </row>
    <row r="15" spans="2:18" ht="11.25" customHeight="1" x14ac:dyDescent="0.25">
      <c r="B15" s="2171" t="s">
        <v>377</v>
      </c>
      <c r="C15" s="2172"/>
      <c r="D15" s="2172"/>
      <c r="E15" s="2172"/>
      <c r="F15" s="224"/>
      <c r="G15" s="235">
        <v>0</v>
      </c>
      <c r="H15" s="113">
        <v>0</v>
      </c>
      <c r="I15" s="113">
        <v>0</v>
      </c>
      <c r="J15" s="113">
        <v>0</v>
      </c>
      <c r="K15" s="235">
        <v>0</v>
      </c>
      <c r="L15" s="113">
        <v>0</v>
      </c>
      <c r="M15" s="1415">
        <f>J15-K15+L15</f>
        <v>0</v>
      </c>
      <c r="N15" s="234">
        <v>0</v>
      </c>
      <c r="O15" s="234">
        <v>0</v>
      </c>
      <c r="R15" s="239"/>
    </row>
    <row r="16" spans="2:18" ht="11.25" customHeight="1" x14ac:dyDescent="0.25">
      <c r="B16" s="2171" t="s">
        <v>378</v>
      </c>
      <c r="C16" s="2172"/>
      <c r="D16" s="2172"/>
      <c r="E16" s="2172"/>
      <c r="F16" s="224"/>
      <c r="G16" s="235">
        <v>0</v>
      </c>
      <c r="H16" s="113">
        <v>0</v>
      </c>
      <c r="I16" s="113">
        <v>0</v>
      </c>
      <c r="J16" s="113">
        <v>0</v>
      </c>
      <c r="K16" s="235">
        <v>0</v>
      </c>
      <c r="L16" s="113">
        <v>0</v>
      </c>
      <c r="M16" s="1415">
        <f>J16-K16+L16</f>
        <v>0</v>
      </c>
      <c r="N16" s="234">
        <v>0</v>
      </c>
      <c r="O16" s="234">
        <v>0</v>
      </c>
      <c r="R16" s="239"/>
    </row>
    <row r="17" spans="2:21" ht="11.25" customHeight="1" thickBot="1" x14ac:dyDescent="0.3">
      <c r="B17" s="2171" t="s">
        <v>379</v>
      </c>
      <c r="C17" s="2172"/>
      <c r="D17" s="2172"/>
      <c r="E17" s="2172"/>
      <c r="F17" s="224"/>
      <c r="G17" s="235">
        <v>0</v>
      </c>
      <c r="H17" s="113">
        <v>0</v>
      </c>
      <c r="I17" s="113">
        <v>0</v>
      </c>
      <c r="J17" s="113">
        <v>0</v>
      </c>
      <c r="K17" s="235">
        <v>0</v>
      </c>
      <c r="L17" s="113">
        <v>0</v>
      </c>
      <c r="M17" s="1415">
        <f>J17-K17+L17</f>
        <v>0</v>
      </c>
      <c r="N17" s="234">
        <v>0</v>
      </c>
      <c r="O17" s="234">
        <v>0</v>
      </c>
      <c r="R17" s="240"/>
    </row>
    <row r="18" spans="2:21" s="150" customFormat="1" ht="11.25" customHeight="1" thickBot="1" x14ac:dyDescent="0.3">
      <c r="B18" s="2156" t="s">
        <v>380</v>
      </c>
      <c r="C18" s="2157"/>
      <c r="D18" s="2157"/>
      <c r="E18" s="2157"/>
      <c r="F18" s="274"/>
      <c r="G18" s="278">
        <f t="shared" ref="G18:O18" si="4">+G13-G14-G15+G16-G17</f>
        <v>0</v>
      </c>
      <c r="H18" s="278">
        <f t="shared" si="4"/>
        <v>0</v>
      </c>
      <c r="I18" s="278">
        <f t="shared" si="4"/>
        <v>0</v>
      </c>
      <c r="J18" s="278">
        <f t="shared" si="4"/>
        <v>0</v>
      </c>
      <c r="K18" s="279">
        <f t="shared" si="4"/>
        <v>0</v>
      </c>
      <c r="L18" s="278">
        <f t="shared" si="4"/>
        <v>0</v>
      </c>
      <c r="M18" s="280">
        <f t="shared" si="4"/>
        <v>0</v>
      </c>
      <c r="N18" s="280">
        <f t="shared" si="4"/>
        <v>0</v>
      </c>
      <c r="O18" s="1410">
        <f t="shared" si="4"/>
        <v>0</v>
      </c>
      <c r="Q18" s="1192"/>
      <c r="R18" s="245"/>
    </row>
    <row r="19" spans="2:21" ht="11.25" customHeight="1" x14ac:dyDescent="0.25">
      <c r="B19" s="2171" t="s">
        <v>381</v>
      </c>
      <c r="C19" s="2173"/>
      <c r="D19" s="2173"/>
      <c r="E19" s="2173"/>
      <c r="F19" s="236"/>
      <c r="G19" s="235">
        <v>0</v>
      </c>
      <c r="H19" s="113">
        <v>0</v>
      </c>
      <c r="I19" s="113">
        <v>0</v>
      </c>
      <c r="J19" s="113">
        <v>0</v>
      </c>
      <c r="K19" s="235">
        <v>0</v>
      </c>
      <c r="L19" s="113">
        <v>0</v>
      </c>
      <c r="M19" s="1415">
        <f>J19-K19+L19</f>
        <v>0</v>
      </c>
      <c r="N19" s="234">
        <v>0</v>
      </c>
      <c r="O19" s="234">
        <v>0</v>
      </c>
      <c r="R19" s="244"/>
    </row>
    <row r="20" spans="2:21" ht="11.25" customHeight="1" x14ac:dyDescent="0.25">
      <c r="B20" s="238" t="s">
        <v>382</v>
      </c>
      <c r="C20" s="237"/>
      <c r="D20" s="237"/>
      <c r="E20" s="237"/>
      <c r="F20" s="236">
        <v>1</v>
      </c>
      <c r="G20" s="235">
        <v>0</v>
      </c>
      <c r="H20" s="113">
        <v>0</v>
      </c>
      <c r="I20" s="113">
        <v>0</v>
      </c>
      <c r="J20" s="113">
        <v>0</v>
      </c>
      <c r="K20" s="235">
        <v>0</v>
      </c>
      <c r="L20" s="113">
        <v>0</v>
      </c>
      <c r="M20" s="1415">
        <f>J20-K20+L20</f>
        <v>0</v>
      </c>
      <c r="N20" s="234">
        <v>0</v>
      </c>
      <c r="O20" s="234">
        <v>0</v>
      </c>
      <c r="R20" s="244"/>
    </row>
    <row r="21" spans="2:21" ht="11.25" customHeight="1" x14ac:dyDescent="0.25">
      <c r="B21" s="238" t="s">
        <v>383</v>
      </c>
      <c r="C21" s="237"/>
      <c r="D21" s="237"/>
      <c r="E21" s="237"/>
      <c r="F21" s="236">
        <v>1</v>
      </c>
      <c r="G21" s="235">
        <v>0</v>
      </c>
      <c r="H21" s="113">
        <v>0</v>
      </c>
      <c r="I21" s="113">
        <v>0</v>
      </c>
      <c r="J21" s="113">
        <v>0</v>
      </c>
      <c r="K21" s="235">
        <v>0</v>
      </c>
      <c r="L21" s="113">
        <v>0</v>
      </c>
      <c r="M21" s="1415">
        <f>J21-K21+L21</f>
        <v>0</v>
      </c>
      <c r="N21" s="234">
        <v>0</v>
      </c>
      <c r="O21" s="234">
        <v>0</v>
      </c>
      <c r="R21" s="1193" t="s">
        <v>384</v>
      </c>
    </row>
    <row r="22" spans="2:21" ht="11.25" customHeight="1" x14ac:dyDescent="0.25">
      <c r="B22" s="2176" t="s">
        <v>385</v>
      </c>
      <c r="C22" s="2177"/>
      <c r="D22" s="2177"/>
      <c r="E22" s="2177"/>
      <c r="F22" s="243">
        <v>2</v>
      </c>
      <c r="G22" s="242">
        <v>0</v>
      </c>
      <c r="H22" s="108">
        <v>0</v>
      </c>
      <c r="I22" s="108">
        <v>0</v>
      </c>
      <c r="J22" s="108">
        <v>0</v>
      </c>
      <c r="K22" s="242">
        <v>0</v>
      </c>
      <c r="L22" s="108">
        <v>0</v>
      </c>
      <c r="M22" s="1416">
        <f>J22-K22+L22</f>
        <v>0</v>
      </c>
      <c r="N22" s="241">
        <v>0</v>
      </c>
      <c r="O22" s="241">
        <v>0</v>
      </c>
      <c r="R22" s="239" t="s">
        <v>386</v>
      </c>
    </row>
    <row r="23" spans="2:21" s="150" customFormat="1" ht="11.25" customHeight="1" x14ac:dyDescent="0.25">
      <c r="B23" s="2178" t="s">
        <v>387</v>
      </c>
      <c r="C23" s="2179"/>
      <c r="D23" s="2179"/>
      <c r="E23" s="2179"/>
      <c r="F23" s="281"/>
      <c r="G23" s="282">
        <f t="shared" ref="G23:O23" si="5">SUM(G18:G22)</f>
        <v>0</v>
      </c>
      <c r="H23" s="282">
        <f t="shared" si="5"/>
        <v>0</v>
      </c>
      <c r="I23" s="282">
        <f t="shared" si="5"/>
        <v>0</v>
      </c>
      <c r="J23" s="282">
        <f t="shared" si="5"/>
        <v>0</v>
      </c>
      <c r="K23" s="283">
        <f t="shared" si="5"/>
        <v>0</v>
      </c>
      <c r="L23" s="282">
        <f t="shared" si="5"/>
        <v>0</v>
      </c>
      <c r="M23" s="1420">
        <f t="shared" si="5"/>
        <v>0</v>
      </c>
      <c r="N23" s="284">
        <f t="shared" si="5"/>
        <v>0</v>
      </c>
      <c r="O23" s="1411">
        <f t="shared" si="5"/>
        <v>0</v>
      </c>
      <c r="Q23" s="1192"/>
      <c r="R23" s="240"/>
    </row>
    <row r="24" spans="2:21" ht="11.25" customHeight="1" x14ac:dyDescent="0.25">
      <c r="B24" s="2171" t="s">
        <v>388</v>
      </c>
      <c r="C24" s="2173"/>
      <c r="D24" s="2173"/>
      <c r="E24" s="2173"/>
      <c r="F24" s="236"/>
      <c r="G24" s="235">
        <v>0</v>
      </c>
      <c r="H24" s="113"/>
      <c r="I24" s="113">
        <v>0</v>
      </c>
      <c r="J24" s="113">
        <v>0</v>
      </c>
      <c r="K24" s="235">
        <v>0</v>
      </c>
      <c r="L24" s="113">
        <v>0</v>
      </c>
      <c r="M24" s="1415">
        <f>J24-K24+L24</f>
        <v>0</v>
      </c>
      <c r="N24" s="234">
        <v>0</v>
      </c>
      <c r="O24" s="234">
        <v>0</v>
      </c>
      <c r="R24" s="239" t="s">
        <v>389</v>
      </c>
    </row>
    <row r="25" spans="2:21" ht="11.25" customHeight="1" x14ac:dyDescent="0.25">
      <c r="B25" s="2171" t="s">
        <v>390</v>
      </c>
      <c r="C25" s="2173"/>
      <c r="D25" s="2173"/>
      <c r="E25" s="2173"/>
      <c r="F25" s="236">
        <v>3</v>
      </c>
      <c r="G25" s="235">
        <v>0</v>
      </c>
      <c r="H25" s="113"/>
      <c r="I25" s="113">
        <v>0</v>
      </c>
      <c r="J25" s="113">
        <v>0</v>
      </c>
      <c r="K25" s="235">
        <v>0</v>
      </c>
      <c r="L25" s="113">
        <v>0</v>
      </c>
      <c r="M25" s="1415">
        <f>J25-K25+L25</f>
        <v>0</v>
      </c>
      <c r="N25" s="234">
        <v>0</v>
      </c>
      <c r="O25" s="234">
        <v>0</v>
      </c>
      <c r="R25" s="239" t="s">
        <v>391</v>
      </c>
    </row>
    <row r="26" spans="2:21" ht="11.25" customHeight="1" thickBot="1" x14ac:dyDescent="0.3">
      <c r="B26" s="2171" t="s">
        <v>392</v>
      </c>
      <c r="C26" s="2173"/>
      <c r="D26" s="2173"/>
      <c r="E26" s="2173"/>
      <c r="F26" s="236"/>
      <c r="G26" s="235">
        <v>0</v>
      </c>
      <c r="H26" s="113"/>
      <c r="I26" s="113">
        <v>0</v>
      </c>
      <c r="J26" s="113">
        <v>0</v>
      </c>
      <c r="K26" s="235">
        <v>0</v>
      </c>
      <c r="L26" s="113">
        <v>0</v>
      </c>
      <c r="M26" s="1415">
        <f>J26-K26+L26</f>
        <v>0</v>
      </c>
      <c r="N26" s="234">
        <v>0</v>
      </c>
      <c r="O26" s="234">
        <v>0</v>
      </c>
      <c r="R26" s="1194" t="s">
        <v>393</v>
      </c>
    </row>
    <row r="27" spans="2:21" s="150" customFormat="1" ht="11.25" customHeight="1" thickBot="1" x14ac:dyDescent="0.3">
      <c r="B27" s="2156" t="s">
        <v>394</v>
      </c>
      <c r="C27" s="2157"/>
      <c r="D27" s="2157"/>
      <c r="E27" s="2157"/>
      <c r="F27" s="274"/>
      <c r="G27" s="275">
        <f t="shared" ref="G27:O27" si="6">+G23-SUM(G24:G26)</f>
        <v>0</v>
      </c>
      <c r="H27" s="276">
        <f t="shared" si="6"/>
        <v>0</v>
      </c>
      <c r="I27" s="276">
        <f t="shared" si="6"/>
        <v>0</v>
      </c>
      <c r="J27" s="276">
        <f t="shared" si="6"/>
        <v>0</v>
      </c>
      <c r="K27" s="275">
        <f t="shared" si="6"/>
        <v>0</v>
      </c>
      <c r="L27" s="276">
        <f t="shared" si="6"/>
        <v>0</v>
      </c>
      <c r="M27" s="277">
        <f t="shared" si="6"/>
        <v>0</v>
      </c>
      <c r="N27" s="277">
        <f t="shared" si="6"/>
        <v>0</v>
      </c>
      <c r="O27" s="1409">
        <f t="shared" si="6"/>
        <v>0</v>
      </c>
      <c r="Q27" s="1192"/>
    </row>
    <row r="28" spans="2:21" ht="11.25" customHeight="1" x14ac:dyDescent="0.25">
      <c r="B28" s="2162" t="s">
        <v>395</v>
      </c>
      <c r="C28" s="2163"/>
      <c r="D28" s="2163"/>
      <c r="E28" s="2163"/>
      <c r="F28" s="2163"/>
      <c r="G28" s="1360"/>
      <c r="H28" s="1360"/>
      <c r="I28" s="1360"/>
      <c r="J28" s="1360"/>
      <c r="K28" s="1360"/>
      <c r="L28" s="1360"/>
      <c r="M28" s="1360"/>
      <c r="N28" s="1360"/>
      <c r="O28" s="1386"/>
      <c r="R28" s="1195" t="s">
        <v>396</v>
      </c>
      <c r="S28" s="150"/>
      <c r="T28" s="150"/>
      <c r="U28" s="150"/>
    </row>
    <row r="29" spans="2:21" ht="11.25" customHeight="1" x14ac:dyDescent="0.25">
      <c r="B29" s="2109" t="s">
        <v>397</v>
      </c>
      <c r="C29" s="2110"/>
      <c r="D29" s="2110"/>
      <c r="E29" s="2110"/>
      <c r="F29" s="228">
        <v>1</v>
      </c>
      <c r="G29" s="242"/>
      <c r="H29" s="108"/>
      <c r="I29" s="1699">
        <v>0</v>
      </c>
      <c r="J29" s="1699">
        <v>0</v>
      </c>
      <c r="K29" s="1700">
        <v>0</v>
      </c>
      <c r="L29" s="1699">
        <v>0</v>
      </c>
      <c r="M29" s="1416">
        <f>J29-K29+L29</f>
        <v>0</v>
      </c>
      <c r="N29" s="241"/>
      <c r="O29" s="241"/>
      <c r="R29" s="1196" t="s">
        <v>398</v>
      </c>
    </row>
    <row r="30" spans="2:21" ht="11.25" customHeight="1" thickBot="1" x14ac:dyDescent="0.3">
      <c r="B30" s="2158" t="s">
        <v>399</v>
      </c>
      <c r="C30" s="2159"/>
      <c r="D30" s="2159"/>
      <c r="E30" s="2159"/>
      <c r="F30" s="224"/>
      <c r="G30" s="227">
        <f t="shared" ref="G30:O30" si="7">SUM(G29:G29)</f>
        <v>0</v>
      </c>
      <c r="H30" s="226">
        <f t="shared" si="7"/>
        <v>0</v>
      </c>
      <c r="I30" s="1368">
        <f t="shared" si="7"/>
        <v>0</v>
      </c>
      <c r="J30" s="1368">
        <f t="shared" si="7"/>
        <v>0</v>
      </c>
      <c r="K30" s="233">
        <f t="shared" si="7"/>
        <v>0</v>
      </c>
      <c r="L30" s="1368">
        <f t="shared" si="7"/>
        <v>0</v>
      </c>
      <c r="M30" s="1421">
        <f t="shared" si="7"/>
        <v>0</v>
      </c>
      <c r="N30" s="232">
        <f t="shared" si="7"/>
        <v>0</v>
      </c>
      <c r="O30" s="232">
        <f t="shared" si="7"/>
        <v>0</v>
      </c>
      <c r="R30" s="1195" t="s">
        <v>400</v>
      </c>
    </row>
    <row r="31" spans="2:21" ht="11.25" customHeight="1" x14ac:dyDescent="0.25">
      <c r="B31" s="2127" t="s">
        <v>401</v>
      </c>
      <c r="C31" s="2128"/>
      <c r="D31" s="2128"/>
      <c r="E31" s="2128"/>
      <c r="F31" s="224"/>
      <c r="G31" s="223">
        <f t="shared" ref="G31:O31" si="8">G27-G30</f>
        <v>0</v>
      </c>
      <c r="H31" s="222">
        <f t="shared" si="8"/>
        <v>0</v>
      </c>
      <c r="I31" s="222">
        <f t="shared" si="8"/>
        <v>0</v>
      </c>
      <c r="J31" s="222">
        <f t="shared" si="8"/>
        <v>0</v>
      </c>
      <c r="K31" s="223">
        <f t="shared" si="8"/>
        <v>0</v>
      </c>
      <c r="L31" s="222">
        <f t="shared" si="8"/>
        <v>0</v>
      </c>
      <c r="M31" s="221">
        <f t="shared" si="8"/>
        <v>0</v>
      </c>
      <c r="N31" s="231">
        <f t="shared" si="8"/>
        <v>0</v>
      </c>
      <c r="O31" s="231">
        <f t="shared" si="8"/>
        <v>0</v>
      </c>
    </row>
    <row r="32" spans="2:21" ht="11.25" customHeight="1" thickBot="1" x14ac:dyDescent="0.3">
      <c r="B32" s="2160" t="s">
        <v>402</v>
      </c>
      <c r="C32" s="2161"/>
      <c r="D32" s="2161"/>
      <c r="E32" s="2161"/>
      <c r="F32" s="216"/>
      <c r="G32" s="213" t="str">
        <f t="shared" ref="G32:O32" si="9">IF(G30=0,"",G27/G30)</f>
        <v/>
      </c>
      <c r="H32" s="215" t="str">
        <f t="shared" si="9"/>
        <v/>
      </c>
      <c r="I32" s="215" t="str">
        <f t="shared" si="9"/>
        <v/>
      </c>
      <c r="J32" s="215" t="str">
        <f t="shared" si="9"/>
        <v/>
      </c>
      <c r="K32" s="213" t="str">
        <f t="shared" si="9"/>
        <v/>
      </c>
      <c r="L32" s="215" t="str">
        <f t="shared" si="9"/>
        <v/>
      </c>
      <c r="M32" s="210" t="str">
        <f t="shared" si="9"/>
        <v/>
      </c>
      <c r="N32" s="210" t="str">
        <f t="shared" si="9"/>
        <v/>
      </c>
      <c r="O32" s="210" t="str">
        <f t="shared" si="9"/>
        <v/>
      </c>
    </row>
    <row r="33" spans="2:26" ht="11.25" customHeight="1" x14ac:dyDescent="0.25">
      <c r="B33" s="2162" t="s">
        <v>403</v>
      </c>
      <c r="C33" s="2163"/>
      <c r="D33" s="2163"/>
      <c r="E33" s="2163"/>
      <c r="F33" s="2163"/>
      <c r="G33" s="2163"/>
      <c r="H33" s="2163"/>
      <c r="I33" s="2163"/>
      <c r="J33" s="2163"/>
      <c r="K33" s="2163"/>
      <c r="L33" s="2163"/>
      <c r="M33" s="2163"/>
      <c r="N33" s="2163"/>
      <c r="O33" s="2164"/>
      <c r="R33" s="1197" t="s">
        <v>404</v>
      </c>
      <c r="S33" s="1198"/>
      <c r="T33" s="1198"/>
      <c r="U33" s="1198"/>
      <c r="V33" s="1198"/>
      <c r="W33" s="1198"/>
      <c r="X33" s="1198"/>
      <c r="Y33" s="1198"/>
      <c r="Z33" s="1198"/>
    </row>
    <row r="34" spans="2:26" ht="11.25" customHeight="1" x14ac:dyDescent="0.25">
      <c r="B34" s="1199" t="s">
        <v>405</v>
      </c>
      <c r="C34" s="1382">
        <v>0</v>
      </c>
      <c r="D34" s="1383">
        <v>0</v>
      </c>
      <c r="E34" s="1384">
        <v>0</v>
      </c>
      <c r="F34" s="224"/>
      <c r="G34" s="1702">
        <f>((+$C$34*1000)*$D$34)*$E$34</f>
        <v>0</v>
      </c>
      <c r="H34" s="1703">
        <f>((+$C$34*1000)*$D$34)*$E$34</f>
        <v>0</v>
      </c>
      <c r="I34" s="1703">
        <f t="shared" ref="I34:I39" si="10">(((C34*1000)*E34)*D34)</f>
        <v>0</v>
      </c>
      <c r="J34" s="1704">
        <f t="shared" ref="J34:J39" si="11">((C34*1000)*E34)*D34</f>
        <v>0</v>
      </c>
      <c r="K34" s="1705">
        <f t="shared" ref="K34:K39" si="12">((C34*1000)*D34)*E34/12*$K$3</f>
        <v>0</v>
      </c>
      <c r="L34" s="1213">
        <f t="shared" ref="L34:L39" si="13">(((+C34*1000)*E34)*D34)/12*$L$3</f>
        <v>0</v>
      </c>
      <c r="M34" s="1706">
        <f t="shared" ref="M34:M39" si="14">+J34-K34+L34</f>
        <v>0</v>
      </c>
      <c r="N34" s="1706">
        <f>((C34*1000)*D34)*E34</f>
        <v>0</v>
      </c>
      <c r="O34" s="1706">
        <f t="shared" ref="O34:O39" si="15">((+C34*1000)*D34)*E34</f>
        <v>0</v>
      </c>
      <c r="R34" s="1196" t="s">
        <v>398</v>
      </c>
      <c r="Y34" s="1200">
        <f t="shared" ref="Y34:Y39" si="16">PMT(D34/12,5*12,-C34*1000*E34)*12</f>
        <v>0</v>
      </c>
      <c r="Z34" s="1200"/>
    </row>
    <row r="35" spans="2:26" ht="11.25" customHeight="1" x14ac:dyDescent="0.25">
      <c r="B35" s="1199" t="s">
        <v>405</v>
      </c>
      <c r="C35" s="1382">
        <v>0</v>
      </c>
      <c r="D35" s="1385">
        <v>0</v>
      </c>
      <c r="E35" s="1384">
        <v>0</v>
      </c>
      <c r="F35" s="224"/>
      <c r="G35" s="1702">
        <f>((+$C$35*1000)*$D$35)*$E$35</f>
        <v>0</v>
      </c>
      <c r="H35" s="1703">
        <f>((+$C$35*1000)*$D$35)*$E$35</f>
        <v>0</v>
      </c>
      <c r="I35" s="1703">
        <f t="shared" si="10"/>
        <v>0</v>
      </c>
      <c r="J35" s="1704">
        <f t="shared" si="11"/>
        <v>0</v>
      </c>
      <c r="K35" s="1705">
        <f t="shared" si="12"/>
        <v>0</v>
      </c>
      <c r="L35" s="1213">
        <f t="shared" si="13"/>
        <v>0</v>
      </c>
      <c r="M35" s="1706">
        <f t="shared" si="14"/>
        <v>0</v>
      </c>
      <c r="N35" s="1706">
        <f>((+C35*1000)*D35)*E35</f>
        <v>0</v>
      </c>
      <c r="O35" s="1706">
        <f t="shared" si="15"/>
        <v>0</v>
      </c>
      <c r="R35" s="1196" t="s">
        <v>398</v>
      </c>
      <c r="Y35" s="1200">
        <f t="shared" si="16"/>
        <v>0</v>
      </c>
      <c r="Z35" s="1200"/>
    </row>
    <row r="36" spans="2:26" ht="11.25" customHeight="1" x14ac:dyDescent="0.25">
      <c r="B36" s="1199" t="s">
        <v>405</v>
      </c>
      <c r="C36" s="1382">
        <v>0</v>
      </c>
      <c r="D36" s="1385">
        <v>0</v>
      </c>
      <c r="E36" s="1384">
        <v>0</v>
      </c>
      <c r="F36" s="224"/>
      <c r="G36" s="1702">
        <f>((+$C$36*1000)*$D$36)*$E$36</f>
        <v>0</v>
      </c>
      <c r="H36" s="1703">
        <f>((+$C$36*1000)*$D$36)*$E$36</f>
        <v>0</v>
      </c>
      <c r="I36" s="1703">
        <f t="shared" si="10"/>
        <v>0</v>
      </c>
      <c r="J36" s="1704">
        <f t="shared" si="11"/>
        <v>0</v>
      </c>
      <c r="K36" s="1705">
        <f t="shared" si="12"/>
        <v>0</v>
      </c>
      <c r="L36" s="1213">
        <f t="shared" si="13"/>
        <v>0</v>
      </c>
      <c r="M36" s="1706">
        <f t="shared" si="14"/>
        <v>0</v>
      </c>
      <c r="N36" s="1706">
        <f>((+C36*1000)*D36)*E36</f>
        <v>0</v>
      </c>
      <c r="O36" s="1706">
        <f t="shared" si="15"/>
        <v>0</v>
      </c>
      <c r="R36" s="1196" t="s">
        <v>398</v>
      </c>
      <c r="Y36" s="1200">
        <f t="shared" si="16"/>
        <v>0</v>
      </c>
      <c r="Z36" s="1200"/>
    </row>
    <row r="37" spans="2:26" ht="11.25" customHeight="1" x14ac:dyDescent="0.25">
      <c r="B37" s="1199" t="s">
        <v>405</v>
      </c>
      <c r="C37" s="1382">
        <v>0</v>
      </c>
      <c r="D37" s="1385">
        <v>0</v>
      </c>
      <c r="E37" s="1384">
        <v>0</v>
      </c>
      <c r="F37" s="224"/>
      <c r="G37" s="1702">
        <f>((+$C$37*1000)*$D$37)*$E$37</f>
        <v>0</v>
      </c>
      <c r="H37" s="1703">
        <f>((+$C$37*1000)*$D$37)*$E$37</f>
        <v>0</v>
      </c>
      <c r="I37" s="1703">
        <f t="shared" si="10"/>
        <v>0</v>
      </c>
      <c r="J37" s="1704">
        <f t="shared" si="11"/>
        <v>0</v>
      </c>
      <c r="K37" s="1705">
        <f t="shared" si="12"/>
        <v>0</v>
      </c>
      <c r="L37" s="1213">
        <f t="shared" si="13"/>
        <v>0</v>
      </c>
      <c r="M37" s="1706">
        <f t="shared" si="14"/>
        <v>0</v>
      </c>
      <c r="N37" s="1706">
        <f>((+C37*1000)*D37)*E37</f>
        <v>0</v>
      </c>
      <c r="O37" s="1706">
        <f t="shared" si="15"/>
        <v>0</v>
      </c>
      <c r="R37" s="1196" t="s">
        <v>398</v>
      </c>
      <c r="Y37" s="1200">
        <f t="shared" si="16"/>
        <v>0</v>
      </c>
      <c r="Z37" s="1200"/>
    </row>
    <row r="38" spans="2:26" ht="11.25" customHeight="1" x14ac:dyDescent="0.25">
      <c r="B38" s="1199" t="s">
        <v>406</v>
      </c>
      <c r="C38" s="1382">
        <v>0</v>
      </c>
      <c r="D38" s="1385">
        <v>0</v>
      </c>
      <c r="E38" s="1384">
        <v>0</v>
      </c>
      <c r="F38" s="224"/>
      <c r="G38" s="1702">
        <f>((+$C$38*1000)*$D$38)*$E$38</f>
        <v>0</v>
      </c>
      <c r="H38" s="1703">
        <f>((+$C$38*1000)*$D$38)*$E$38</f>
        <v>0</v>
      </c>
      <c r="I38" s="1703">
        <f t="shared" si="10"/>
        <v>0</v>
      </c>
      <c r="J38" s="1704">
        <f t="shared" si="11"/>
        <v>0</v>
      </c>
      <c r="K38" s="1705">
        <f t="shared" si="12"/>
        <v>0</v>
      </c>
      <c r="L38" s="1213">
        <f t="shared" si="13"/>
        <v>0</v>
      </c>
      <c r="M38" s="1706">
        <f t="shared" si="14"/>
        <v>0</v>
      </c>
      <c r="N38" s="1706">
        <f>((+C38*1000)*D38)*E38</f>
        <v>0</v>
      </c>
      <c r="O38" s="1706">
        <f t="shared" si="15"/>
        <v>0</v>
      </c>
      <c r="R38" s="1196" t="s">
        <v>398</v>
      </c>
      <c r="Y38" s="1200">
        <f t="shared" si="16"/>
        <v>0</v>
      </c>
      <c r="Z38" s="1200"/>
    </row>
    <row r="39" spans="2:26" ht="11.25" customHeight="1" x14ac:dyDescent="0.25">
      <c r="B39" s="1201" t="s">
        <v>407</v>
      </c>
      <c r="C39" s="230">
        <v>0</v>
      </c>
      <c r="D39" s="1354">
        <v>0</v>
      </c>
      <c r="E39" s="229">
        <v>0</v>
      </c>
      <c r="F39" s="228"/>
      <c r="G39" s="1707">
        <f>((+$C$39*1000)*$D$39)*$E$39</f>
        <v>0</v>
      </c>
      <c r="H39" s="1708">
        <f>((+$C$39*1000)*$D$39)*$E$39</f>
        <v>0</v>
      </c>
      <c r="I39" s="1708">
        <f t="shared" si="10"/>
        <v>0</v>
      </c>
      <c r="J39" s="1709">
        <f t="shared" si="11"/>
        <v>0</v>
      </c>
      <c r="K39" s="1710">
        <f t="shared" si="12"/>
        <v>0</v>
      </c>
      <c r="L39" s="1711">
        <f t="shared" si="13"/>
        <v>0</v>
      </c>
      <c r="M39" s="1712">
        <f t="shared" si="14"/>
        <v>0</v>
      </c>
      <c r="N39" s="1712">
        <f>((+C39*1000)*D39)*E39</f>
        <v>0</v>
      </c>
      <c r="O39" s="1712">
        <f t="shared" si="15"/>
        <v>0</v>
      </c>
      <c r="R39" s="1196" t="s">
        <v>398</v>
      </c>
      <c r="Y39" s="1202">
        <f t="shared" si="16"/>
        <v>0</v>
      </c>
      <c r="Z39" s="1202"/>
    </row>
    <row r="40" spans="2:26" ht="11.25" customHeight="1" thickBot="1" x14ac:dyDescent="0.3">
      <c r="B40" s="2165" t="s">
        <v>408</v>
      </c>
      <c r="C40" s="2166"/>
      <c r="D40" s="2166"/>
      <c r="E40" s="2166"/>
      <c r="F40" s="224"/>
      <c r="G40" s="227">
        <f t="shared" ref="G40:O40" si="17">SUM(G34:G39)</f>
        <v>0</v>
      </c>
      <c r="H40" s="226">
        <f t="shared" si="17"/>
        <v>0</v>
      </c>
      <c r="I40" s="226">
        <f t="shared" si="17"/>
        <v>0</v>
      </c>
      <c r="J40" s="226">
        <f t="shared" si="17"/>
        <v>0</v>
      </c>
      <c r="K40" s="227">
        <f t="shared" si="17"/>
        <v>0</v>
      </c>
      <c r="L40" s="226">
        <f t="shared" si="17"/>
        <v>0</v>
      </c>
      <c r="M40" s="231">
        <f t="shared" si="17"/>
        <v>0</v>
      </c>
      <c r="N40" s="225">
        <f t="shared" si="17"/>
        <v>0</v>
      </c>
      <c r="O40" s="225">
        <f t="shared" si="17"/>
        <v>0</v>
      </c>
      <c r="R40" s="1195" t="s">
        <v>400</v>
      </c>
      <c r="Y40" s="1200">
        <f>SUM(Y34:Y39)</f>
        <v>0</v>
      </c>
      <c r="Z40" s="1200"/>
    </row>
    <row r="41" spans="2:26" ht="11.25" customHeight="1" x14ac:dyDescent="0.25">
      <c r="B41" s="2127" t="s">
        <v>409</v>
      </c>
      <c r="C41" s="2128"/>
      <c r="D41" s="2128"/>
      <c r="E41" s="2128"/>
      <c r="F41" s="224"/>
      <c r="G41" s="223">
        <f t="shared" ref="G41:O41" si="18">G27-G40</f>
        <v>0</v>
      </c>
      <c r="H41" s="222">
        <f t="shared" si="18"/>
        <v>0</v>
      </c>
      <c r="I41" s="222">
        <f t="shared" si="18"/>
        <v>0</v>
      </c>
      <c r="J41" s="222">
        <f t="shared" si="18"/>
        <v>0</v>
      </c>
      <c r="K41" s="223">
        <f t="shared" si="18"/>
        <v>0</v>
      </c>
      <c r="L41" s="222">
        <f t="shared" si="18"/>
        <v>0</v>
      </c>
      <c r="M41" s="221">
        <f t="shared" si="18"/>
        <v>0</v>
      </c>
      <c r="N41" s="221">
        <f t="shared" si="18"/>
        <v>0</v>
      </c>
      <c r="O41" s="221">
        <f t="shared" si="18"/>
        <v>0</v>
      </c>
    </row>
    <row r="42" spans="2:26" ht="11.25" customHeight="1" thickBot="1" x14ac:dyDescent="0.3">
      <c r="B42" s="2160" t="s">
        <v>410</v>
      </c>
      <c r="C42" s="2161"/>
      <c r="D42" s="2161"/>
      <c r="E42" s="2161"/>
      <c r="F42" s="216"/>
      <c r="G42" s="213" t="str">
        <f t="shared" ref="G42:O42" si="19">IF(G40=0,"",G27/G40)</f>
        <v/>
      </c>
      <c r="H42" s="215" t="str">
        <f t="shared" si="19"/>
        <v/>
      </c>
      <c r="I42" s="215" t="str">
        <f t="shared" si="19"/>
        <v/>
      </c>
      <c r="J42" s="215" t="str">
        <f t="shared" si="19"/>
        <v/>
      </c>
      <c r="K42" s="213" t="str">
        <f t="shared" si="19"/>
        <v/>
      </c>
      <c r="L42" s="215" t="str">
        <f t="shared" si="19"/>
        <v/>
      </c>
      <c r="M42" s="210" t="str">
        <f t="shared" si="19"/>
        <v/>
      </c>
      <c r="N42" s="210" t="str">
        <f t="shared" si="19"/>
        <v/>
      </c>
      <c r="O42" s="210" t="str">
        <f t="shared" si="19"/>
        <v/>
      </c>
    </row>
    <row r="43" spans="2:26" ht="11.25" customHeight="1" x14ac:dyDescent="0.25">
      <c r="B43" s="1203" t="s">
        <v>406</v>
      </c>
      <c r="C43" s="220">
        <v>0</v>
      </c>
      <c r="D43" s="219">
        <v>0</v>
      </c>
      <c r="E43" s="218" t="s">
        <v>411</v>
      </c>
      <c r="F43" s="217"/>
      <c r="G43" s="1713">
        <f>+C43*1000*D43</f>
        <v>0</v>
      </c>
      <c r="H43" s="1713">
        <f>+C43*1000*D43</f>
        <v>0</v>
      </c>
      <c r="I43" s="1713">
        <f>+C43*1000*D43</f>
        <v>0</v>
      </c>
      <c r="J43" s="1714">
        <f>+C43*1000*D43</f>
        <v>0</v>
      </c>
      <c r="K43" s="1715">
        <f>+C43*1000*D43/12*K3</f>
        <v>0</v>
      </c>
      <c r="L43" s="1716">
        <f>+C43*1000*D43/12*L3</f>
        <v>0</v>
      </c>
      <c r="M43" s="1717">
        <f>+J43-K43+L43</f>
        <v>0</v>
      </c>
      <c r="N43" s="1717">
        <f>+C43*1000*D43</f>
        <v>0</v>
      </c>
      <c r="O43" s="1717">
        <f>+C43*1000*D43</f>
        <v>0</v>
      </c>
      <c r="R43" s="1196" t="s">
        <v>412</v>
      </c>
      <c r="Y43" s="1200"/>
    </row>
    <row r="44" spans="2:26" ht="11.25" customHeight="1" thickBot="1" x14ac:dyDescent="0.3">
      <c r="B44" s="2160" t="s">
        <v>413</v>
      </c>
      <c r="C44" s="2161"/>
      <c r="D44" s="2161"/>
      <c r="E44" s="2161"/>
      <c r="F44" s="216"/>
      <c r="G44" s="213" t="str">
        <f>IF(G43=0,"",G27/(G40+G43))</f>
        <v/>
      </c>
      <c r="H44" s="215" t="str">
        <f t="shared" ref="H44:O44" si="20">IF(H43=0,+H42,H27/(H40+H43))</f>
        <v/>
      </c>
      <c r="I44" s="214" t="str">
        <f t="shared" si="20"/>
        <v/>
      </c>
      <c r="J44" s="212" t="str">
        <f t="shared" si="20"/>
        <v/>
      </c>
      <c r="K44" s="213" t="str">
        <f t="shared" si="20"/>
        <v/>
      </c>
      <c r="L44" s="215" t="str">
        <f t="shared" si="20"/>
        <v/>
      </c>
      <c r="M44" s="210" t="str">
        <f t="shared" si="20"/>
        <v/>
      </c>
      <c r="N44" s="211" t="str">
        <f t="shared" si="20"/>
        <v/>
      </c>
      <c r="O44" s="210" t="str">
        <f t="shared" si="20"/>
        <v/>
      </c>
      <c r="R44" s="1191" t="s">
        <v>414</v>
      </c>
    </row>
    <row r="45" spans="2:26" ht="5.0999999999999996" customHeight="1" thickBot="1" x14ac:dyDescent="0.3">
      <c r="B45" s="144"/>
      <c r="C45" s="144"/>
      <c r="D45" s="144"/>
      <c r="E45" s="144"/>
      <c r="F45" s="1357"/>
      <c r="G45" s="1358"/>
      <c r="H45" s="1358"/>
      <c r="I45" s="1359"/>
      <c r="J45" s="1358"/>
      <c r="K45" s="1358"/>
      <c r="L45" s="1358"/>
      <c r="M45" s="1358"/>
      <c r="N45" s="1359"/>
      <c r="O45" s="1358"/>
      <c r="R45" s="1191"/>
    </row>
    <row r="46" spans="2:26" ht="11.25" customHeight="1" x14ac:dyDescent="0.25">
      <c r="B46" s="2162" t="s">
        <v>415</v>
      </c>
      <c r="C46" s="2163"/>
      <c r="D46" s="2163"/>
      <c r="E46" s="2163"/>
      <c r="F46" s="1360"/>
      <c r="G46" s="1361"/>
      <c r="H46" s="1362"/>
      <c r="I46" s="1363"/>
      <c r="J46" s="1364"/>
      <c r="K46" s="1365"/>
      <c r="L46" s="1363"/>
      <c r="M46" s="1366"/>
      <c r="N46" s="1366"/>
      <c r="O46" s="1367"/>
      <c r="R46" s="1191"/>
    </row>
    <row r="47" spans="2:26" s="150" customFormat="1" ht="11.25" customHeight="1" x14ac:dyDescent="0.25">
      <c r="B47" s="2167" t="s">
        <v>416</v>
      </c>
      <c r="C47" s="2168"/>
      <c r="D47" s="2168"/>
      <c r="E47" s="2168"/>
      <c r="G47" s="1718">
        <v>0</v>
      </c>
      <c r="H47" s="1719">
        <f>G51</f>
        <v>0</v>
      </c>
      <c r="I47" s="1687">
        <f>H51</f>
        <v>0</v>
      </c>
      <c r="J47" s="1688">
        <f>I51</f>
        <v>0</v>
      </c>
      <c r="K47" s="1689">
        <v>0</v>
      </c>
      <c r="L47" s="1690">
        <v>0</v>
      </c>
      <c r="M47" s="1691">
        <v>0</v>
      </c>
      <c r="N47" s="1691">
        <v>0</v>
      </c>
      <c r="O47" s="1692">
        <v>0</v>
      </c>
      <c r="Q47" s="1192"/>
      <c r="R47" s="1191"/>
    </row>
    <row r="48" spans="2:26" ht="11.25" customHeight="1" x14ac:dyDescent="0.25">
      <c r="B48" s="2127" t="s">
        <v>417</v>
      </c>
      <c r="C48" s="2128"/>
      <c r="D48" s="2128"/>
      <c r="E48" s="2128"/>
      <c r="F48" s="1412"/>
      <c r="G48" s="1702">
        <v>0</v>
      </c>
      <c r="H48" s="1720">
        <v>0</v>
      </c>
      <c r="I48" s="1693">
        <v>0</v>
      </c>
      <c r="J48" s="1694">
        <v>0</v>
      </c>
      <c r="K48" s="1693">
        <v>0</v>
      </c>
      <c r="L48" s="1695">
        <v>0</v>
      </c>
      <c r="M48" s="1696">
        <v>0</v>
      </c>
      <c r="N48" s="1696">
        <v>0</v>
      </c>
      <c r="O48" s="1697">
        <v>0</v>
      </c>
      <c r="R48" s="1369"/>
    </row>
    <row r="49" spans="2:26" ht="11.25" customHeight="1" x14ac:dyDescent="0.25">
      <c r="B49" s="2127" t="s">
        <v>418</v>
      </c>
      <c r="C49" s="2128"/>
      <c r="D49" s="2128"/>
      <c r="E49" s="2128"/>
      <c r="F49" s="1412"/>
      <c r="G49" s="1718">
        <v>0</v>
      </c>
      <c r="H49" s="1720">
        <v>0</v>
      </c>
      <c r="I49" s="1693">
        <v>0</v>
      </c>
      <c r="J49" s="1698">
        <v>0</v>
      </c>
      <c r="K49" s="1693">
        <v>0</v>
      </c>
      <c r="L49" s="1695">
        <v>0</v>
      </c>
      <c r="M49" s="1696">
        <v>0</v>
      </c>
      <c r="N49" s="1696">
        <v>0</v>
      </c>
      <c r="O49" s="1697">
        <v>0</v>
      </c>
      <c r="R49" s="1369"/>
    </row>
    <row r="50" spans="2:26" ht="11.25" customHeight="1" x14ac:dyDescent="0.25">
      <c r="B50" s="2127" t="s">
        <v>419</v>
      </c>
      <c r="C50" s="2128"/>
      <c r="D50" s="2128"/>
      <c r="E50" s="2128"/>
      <c r="F50" s="1412"/>
      <c r="G50" s="1718">
        <v>0</v>
      </c>
      <c r="H50" s="1720">
        <v>0</v>
      </c>
      <c r="I50" s="1693">
        <v>0</v>
      </c>
      <c r="J50" s="1698">
        <v>0</v>
      </c>
      <c r="K50" s="1693">
        <v>0</v>
      </c>
      <c r="L50" s="1695">
        <v>0</v>
      </c>
      <c r="M50" s="1696">
        <v>0</v>
      </c>
      <c r="N50" s="1696">
        <v>0</v>
      </c>
      <c r="O50" s="1697">
        <v>0</v>
      </c>
      <c r="R50" s="1369"/>
    </row>
    <row r="51" spans="2:26" s="150" customFormat="1" ht="11.25" customHeight="1" thickBot="1" x14ac:dyDescent="0.3">
      <c r="B51" s="2169" t="s">
        <v>420</v>
      </c>
      <c r="C51" s="2170"/>
      <c r="D51" s="2170"/>
      <c r="E51" s="2170"/>
      <c r="F51" s="1370"/>
      <c r="G51" s="1337">
        <f>SUM(G47:G50)</f>
        <v>0</v>
      </c>
      <c r="H51" s="1338">
        <f>SUM(H47:H50)</f>
        <v>0</v>
      </c>
      <c r="I51" s="1337">
        <f>SUM(I47:I50)</f>
        <v>0</v>
      </c>
      <c r="J51" s="1339">
        <f>SUM(J47:J50)</f>
        <v>0</v>
      </c>
      <c r="K51" s="1337">
        <f t="shared" ref="K51:L51" si="21">SUM(K47:K50)</f>
        <v>0</v>
      </c>
      <c r="L51" s="1338">
        <f t="shared" si="21"/>
        <v>0</v>
      </c>
      <c r="M51" s="1340">
        <f t="shared" ref="M51:O51" si="22">SUM(M47:M50)</f>
        <v>0</v>
      </c>
      <c r="N51" s="1340">
        <f t="shared" si="22"/>
        <v>0</v>
      </c>
      <c r="O51" s="1341">
        <f t="shared" si="22"/>
        <v>0</v>
      </c>
      <c r="Q51" s="1192"/>
      <c r="R51" s="1191"/>
    </row>
    <row r="52" spans="2:26" ht="5.0999999999999996" customHeight="1" thickBot="1" x14ac:dyDescent="0.3">
      <c r="B52" s="1187"/>
      <c r="C52" s="1187"/>
      <c r="D52" s="1187"/>
      <c r="E52" s="1187"/>
      <c r="F52" s="1187"/>
      <c r="G52" s="1188"/>
      <c r="H52" s="1188"/>
      <c r="I52" s="1188"/>
      <c r="J52" s="1188"/>
      <c r="K52" s="1188"/>
      <c r="L52" s="1188"/>
      <c r="M52" s="1188"/>
      <c r="N52" s="1188"/>
      <c r="O52" s="1188"/>
    </row>
    <row r="53" spans="2:26" ht="11.25" customHeight="1" x14ac:dyDescent="0.25">
      <c r="B53" s="209" t="s">
        <v>421</v>
      </c>
      <c r="C53" s="207"/>
      <c r="D53" s="208"/>
      <c r="E53" s="207"/>
      <c r="F53" s="206"/>
      <c r="G53" s="204" t="str">
        <f t="shared" ref="G53:O53" si="23">IF(G23=0,"",G23/G30)</f>
        <v/>
      </c>
      <c r="H53" s="205" t="str">
        <f t="shared" si="23"/>
        <v/>
      </c>
      <c r="I53" s="205" t="str">
        <f t="shared" si="23"/>
        <v/>
      </c>
      <c r="J53" s="203" t="str">
        <f t="shared" si="23"/>
        <v/>
      </c>
      <c r="K53" s="204" t="str">
        <f t="shared" si="23"/>
        <v/>
      </c>
      <c r="L53" s="205" t="str">
        <f t="shared" si="23"/>
        <v/>
      </c>
      <c r="M53" s="202" t="str">
        <f t="shared" si="23"/>
        <v/>
      </c>
      <c r="N53" s="202" t="str">
        <f t="shared" si="23"/>
        <v/>
      </c>
      <c r="O53" s="202" t="str">
        <f t="shared" si="23"/>
        <v/>
      </c>
      <c r="P53" s="1204"/>
      <c r="Q53" s="1205"/>
      <c r="T53" s="1206"/>
    </row>
    <row r="54" spans="2:26" ht="11.25" customHeight="1" x14ac:dyDescent="0.25">
      <c r="B54" s="201" t="s">
        <v>422</v>
      </c>
      <c r="C54" s="199"/>
      <c r="D54" s="200"/>
      <c r="E54" s="199"/>
      <c r="F54" s="198"/>
      <c r="G54" s="197" t="str">
        <f>IF(G27&gt;0,G27/(G29+($G$64*2%)+G43),"")</f>
        <v/>
      </c>
      <c r="H54" s="197" t="str">
        <f>IF(H27&gt;0,H27/(H29+($G$64*2%)+H43),"")</f>
        <v/>
      </c>
      <c r="I54" s="197" t="str">
        <f>IF(I27&gt;0,I27/(I29+($G$64*2%)+I43),"")</f>
        <v/>
      </c>
      <c r="J54" s="197" t="str">
        <f>IF(J27&gt;0,J27/(J29+($G$64*2%)+J43),"")</f>
        <v/>
      </c>
      <c r="K54" s="196" t="str">
        <f>IF(K27&gt;0,K27/(K29+(($G$64*2%)/12*$K$3)+K43),"")</f>
        <v/>
      </c>
      <c r="L54" s="197" t="str">
        <f>IF(L27&gt;0,L27/(L29+(($G$64*2%)/12*$L$3)+L43),"")</f>
        <v/>
      </c>
      <c r="M54" s="195" t="str">
        <f>IF(M27&gt;0,M27/(M29+($G$64*2%)+M43),"")</f>
        <v/>
      </c>
      <c r="N54" s="195" t="str">
        <f>IF(N27&gt;0,N27/(N29+($G$64*2%)+N43),"")</f>
        <v/>
      </c>
      <c r="O54" s="195" t="str">
        <f>IF(O27&gt;0,O27/(O29+($G$64*1%)+O43),"")</f>
        <v/>
      </c>
      <c r="T54" s="1206"/>
    </row>
    <row r="55" spans="2:26" ht="11.25" customHeight="1" x14ac:dyDescent="0.25">
      <c r="B55" s="2174" t="s">
        <v>423</v>
      </c>
      <c r="C55" s="2175"/>
      <c r="D55" s="2175"/>
      <c r="E55" s="2175"/>
      <c r="F55" s="192"/>
      <c r="G55" s="191" t="str">
        <f>IF(G27&gt;0,G27/($C$34*1000*$D$34+$C$35*1000*$D$35+$C$36*1000*$D$36+$C$37*1000*$D$37+$C$38*1000*$D$38+$C$39*1000*$D$39+$C$43*1000*$D$43),"")</f>
        <v/>
      </c>
      <c r="H55" s="191" t="str">
        <f>IF(H27&gt;0,H27/($C$34*1000*$D$34+$C$35*1000*$D$35+$C$36*1000*$D$36+$C$37*1000*$D$37+$C$38*1000*$D$38+$C$39*1000*$D$39+$C$43*1000*$D$43),"")</f>
        <v/>
      </c>
      <c r="I55" s="191" t="str">
        <f>IF(I27&gt;0,I27/($C$34*1000*$D$34+$C$35*1000*$D$35+$C$36*1000*$D$36+$C$37*1000*$D$37+$C$38*1000*$D$38+$C$39*1000*$D$39+$C$43*1000*$D$43),"")</f>
        <v/>
      </c>
      <c r="J55" s="191" t="str">
        <f>IF(J27&gt;0,J27/($C$34*1000*$D$34+$C$35*1000*$D$35+$C$36*1000*$D$36+$C$37*1000*$D$37+$C$38*1000*$D$38+$C$39*1000*$D$39+$C$43*1000*$D$43),"")</f>
        <v/>
      </c>
      <c r="K55" s="190" t="str">
        <f>IF(K27&gt;0,K27/((($C$34*1000*$D$34+$C$35*1000*$D$35+$C$36*1000*$D$36+$C$37*1000*$D$37+$C$38*1000*$D$38+$C$39*1000*$D$39+$C$43*1000*$D$43)/12)*$K$3),"")</f>
        <v/>
      </c>
      <c r="L55" s="191" t="str">
        <f>IF(L27&gt;0,L27/((($C$34*1000*$D$34+$C$35*1000*$D$35+$C$36*1000*$D$36+$C$37*1000*$D$37+$C$38*1000*$D$38+$C$39*1000*$D$39+$C$43*1000*$D$43)/12)*$L$3),"")</f>
        <v/>
      </c>
      <c r="M55" s="189" t="str">
        <f>IF(M27&gt;0,M27/($C$34*1000*$D$34+$C$35*1000*$D$35+$C$36*1000*$D$36+$C$37*1000*$D$37+$C$38*1000*$D$38+$C$39*1000*$D$39+$C$43*1000*$D$43),"")</f>
        <v/>
      </c>
      <c r="N55" s="189" t="str">
        <f>IF(N27&gt;0,N27/(+$C$34*1000*$D$34+$C$35*1000*$D$35+$C$36*1000*$D$36+$C$37*1000*$D$37+$C$38*1000*$D$38+$C$39*1000*$D$39+$C$43*1000*$D$43),"")</f>
        <v/>
      </c>
      <c r="O55" s="189" t="str">
        <f>IF(O27&gt;0,O27/(+$C$34*1000*$D$34+$C$35*1000*$D$35+$C$36*1000*$D$36+$C$37*1000*$D$37+$C$38*1000*$D$38+$C$39*1000*$D$39+$C$43*1000*$D$43),"")</f>
        <v/>
      </c>
      <c r="T55" s="1206"/>
    </row>
    <row r="56" spans="2:26" ht="11.25" customHeight="1" x14ac:dyDescent="0.25">
      <c r="B56" s="194" t="s">
        <v>424</v>
      </c>
      <c r="C56" s="193"/>
      <c r="D56" s="193"/>
      <c r="E56" s="193"/>
      <c r="F56" s="192"/>
      <c r="G56" s="191" t="str">
        <f>IF(G27&gt;0,G27/($C$34*1000*($D$34+1%)+$C$35*1000*($D$35+1%)+$C$36*1000*($D$36+1%)+$C$37*1000*($D$37+1%)+$C$38*1000*($D$38+1%)+$C$39*1000*($D$39+1%)+$C$43*1000*($D$43+1%)),"")</f>
        <v/>
      </c>
      <c r="H56" s="191" t="str">
        <f>IF(H27&gt;0,H27/($C$34*1000*($D$34+1%)+$C$35*1000*($D$35+1%)+$C$36*1000*($D$36+1%)+$C$37*1000*($D$37+1%)+$C$38*1000*($D$38+1%)+$C$39*1000*($D$39+1%)+$C$43*1000*($D$43+1%)),"")</f>
        <v/>
      </c>
      <c r="I56" s="191" t="str">
        <f>IF(I27&gt;0,I27/($C$34*1000*($D$34+1%)+$C$35*1000*($D$35+1%)+$C$36*1000*($D$36+1%)+$C$37*1000*($D$37+1%)+$C$38*1000*($D$38+1%)+$C$39*1000*($D$39+1%)+$C$43*1000*($D$43+1%)),"")</f>
        <v/>
      </c>
      <c r="J56" s="191" t="str">
        <f>IF(J27&gt;0,J27/($C$34*1000*($D$34+1%)+$C$35*1000*($D$35+1%)+$C$36*1000*($D$36+1%)+$C$37*1000*($D$37+1%)+$C$38*1000*($D$38+1%)+$C$39*1000*($D$39+1%)+$C$43*1000*($D$43+1%)),"")</f>
        <v/>
      </c>
      <c r="K56" s="190" t="str">
        <f>IF(K27&gt;0,K27/(($C$34*1000*($D$34+1%)+$C$35*1000*($D$35+1%)+$C$36*1000*($D$36+1%)+$C$37*1000*($D$37+1%)+$C$38*1000*($D$38+1%)+$C$39*1000*($D$39+1%)+$C$43*1000*($D$43+1%))/12*$K$3),"")</f>
        <v/>
      </c>
      <c r="L56" s="191" t="str">
        <f>IF(L27&gt;0,L27/(($C$34*1000*($D$34+1%)+$C$35*1000*($D$35+1%)+$C$36*1000*($D$36+1%)+$C$37*1000*($D$37+1%)+$C$38*1000*($D$38+1%)+$C$39*1000*($D$39+1%)+$C$43*1000*($D$43+1%))/12*$L$3),"")</f>
        <v/>
      </c>
      <c r="M56" s="189" t="str">
        <f>IF(M27&gt;0,M27/($C$34*1000*($D$34+1%)+$C$35*1000*($D$35+1%)+$C$36*1000*($D$36+1%)+$C$37*1000*($D$37+1%)+$C$38*1000*($D$38+1%)+$C$39*1000*($D$39+1%)+$C$43*1000*($D$43+1%)),"")</f>
        <v/>
      </c>
      <c r="N56" s="189" t="str">
        <f>IF(N27&gt;0,N27/($C$34*1000*($D$34+1%)+$C$35*1000*($D$35+1%)+$C$36*1000*($D$36+1%)+$C$37*1000*($D$37+1%)+$C$38*1000*($D$38+1%)+$C$39*1000*($D$39+1%)+$C$43*1000*($D$43+1%)),"")</f>
        <v/>
      </c>
      <c r="O56" s="189" t="str">
        <f>IF(O27&gt;0,O27/($C$34*1000*($D$34+1%)+$C$35*1000*($D$35+1%)+$C$36*1000*($D$36+1%)+$C$37*1000*($D$37+1%)+$C$38*1000*($D$38+1%)+$C$39*1000*($D$39+1%)+$C$43*1000*($D$43+1%)),"")</f>
        <v/>
      </c>
      <c r="T56" s="1206"/>
      <c r="Y56" s="1207"/>
      <c r="Z56" s="1208"/>
    </row>
    <row r="57" spans="2:26" ht="11.25" hidden="1" customHeight="1" thickBot="1" x14ac:dyDescent="0.3">
      <c r="B57" s="2154" t="s">
        <v>425</v>
      </c>
      <c r="C57" s="2155"/>
      <c r="D57" s="2155"/>
      <c r="E57" s="2155"/>
      <c r="F57" s="188"/>
      <c r="G57" s="187" t="e">
        <f t="shared" ref="G57:O57" si="24">(G27-G26-G69)/G40</f>
        <v>#DIV/0!</v>
      </c>
      <c r="H57" s="186" t="e">
        <f t="shared" si="24"/>
        <v>#DIV/0!</v>
      </c>
      <c r="I57" s="186" t="e">
        <f t="shared" si="24"/>
        <v>#DIV/0!</v>
      </c>
      <c r="J57" s="186" t="e">
        <f t="shared" si="24"/>
        <v>#DIV/0!</v>
      </c>
      <c r="K57" s="187" t="e">
        <f t="shared" si="24"/>
        <v>#DIV/0!</v>
      </c>
      <c r="L57" s="186" t="e">
        <f t="shared" si="24"/>
        <v>#DIV/0!</v>
      </c>
      <c r="M57" s="185" t="e">
        <f t="shared" si="24"/>
        <v>#DIV/0!</v>
      </c>
      <c r="N57" s="185" t="e">
        <f t="shared" si="24"/>
        <v>#DIV/0!</v>
      </c>
      <c r="O57" s="185" t="e">
        <f t="shared" si="24"/>
        <v>#DIV/0!</v>
      </c>
      <c r="Q57" s="1190" t="s">
        <v>426</v>
      </c>
      <c r="T57" s="1206"/>
    </row>
    <row r="58" spans="2:26" ht="11.25" hidden="1" customHeight="1" thickBot="1" x14ac:dyDescent="0.3">
      <c r="B58" s="2121" t="s">
        <v>427</v>
      </c>
      <c r="C58" s="2122"/>
      <c r="D58" s="2122"/>
      <c r="E58" s="2122"/>
      <c r="F58" s="188"/>
      <c r="G58" s="187" t="e">
        <f t="shared" ref="G58:O58" si="25">(G27-G26-G70)/G40</f>
        <v>#DIV/0!</v>
      </c>
      <c r="H58" s="186" t="e">
        <f t="shared" si="25"/>
        <v>#DIV/0!</v>
      </c>
      <c r="I58" s="186" t="e">
        <f t="shared" si="25"/>
        <v>#DIV/0!</v>
      </c>
      <c r="J58" s="186" t="e">
        <f t="shared" si="25"/>
        <v>#DIV/0!</v>
      </c>
      <c r="K58" s="187" t="e">
        <f t="shared" si="25"/>
        <v>#DIV/0!</v>
      </c>
      <c r="L58" s="186" t="e">
        <f t="shared" si="25"/>
        <v>#DIV/0!</v>
      </c>
      <c r="M58" s="185" t="e">
        <f t="shared" si="25"/>
        <v>#DIV/0!</v>
      </c>
      <c r="N58" s="185" t="e">
        <f t="shared" si="25"/>
        <v>#DIV/0!</v>
      </c>
      <c r="O58" s="185" t="e">
        <f t="shared" si="25"/>
        <v>#DIV/0!</v>
      </c>
      <c r="Q58" s="1190" t="s">
        <v>426</v>
      </c>
      <c r="S58" s="1209"/>
      <c r="T58" s="1209"/>
      <c r="U58" s="1209"/>
    </row>
    <row r="59" spans="2:26" ht="11.25" hidden="1" customHeight="1" x14ac:dyDescent="0.25">
      <c r="B59" s="2123" t="s">
        <v>428</v>
      </c>
      <c r="C59" s="2124"/>
      <c r="D59" s="2124"/>
      <c r="E59" s="2124"/>
      <c r="F59" s="183"/>
      <c r="G59" s="182" t="e">
        <f t="shared" ref="G59:O59" si="26">(G27-G26-G71)/G40</f>
        <v>#DIV/0!</v>
      </c>
      <c r="H59" s="181" t="e">
        <f t="shared" si="26"/>
        <v>#DIV/0!</v>
      </c>
      <c r="I59" s="181" t="e">
        <f t="shared" si="26"/>
        <v>#DIV/0!</v>
      </c>
      <c r="J59" s="181" t="e">
        <f t="shared" si="26"/>
        <v>#DIV/0!</v>
      </c>
      <c r="K59" s="182" t="e">
        <f t="shared" si="26"/>
        <v>#DIV/0!</v>
      </c>
      <c r="L59" s="181" t="e">
        <f t="shared" si="26"/>
        <v>#DIV/0!</v>
      </c>
      <c r="M59" s="180" t="e">
        <f t="shared" si="26"/>
        <v>#DIV/0!</v>
      </c>
      <c r="N59" s="180" t="e">
        <f t="shared" si="26"/>
        <v>#DIV/0!</v>
      </c>
      <c r="O59" s="180" t="e">
        <f t="shared" si="26"/>
        <v>#DIV/0!</v>
      </c>
      <c r="Q59" s="1190" t="s">
        <v>426</v>
      </c>
    </row>
    <row r="60" spans="2:26" ht="11.25" customHeight="1" thickBot="1" x14ac:dyDescent="0.3">
      <c r="B60" s="179" t="s">
        <v>429</v>
      </c>
      <c r="C60" s="178"/>
      <c r="D60" s="178"/>
      <c r="E60" s="178"/>
      <c r="F60" s="177"/>
      <c r="G60" s="175" t="str">
        <f>IF(G27&lt;=0,"",+G27/Y40)</f>
        <v/>
      </c>
      <c r="H60" s="175" t="str">
        <f>IF(H27&lt;=0,"",+H27/Y40)</f>
        <v/>
      </c>
      <c r="I60" s="175" t="str">
        <f>IF(I27&lt;=0,"",+I27/Y40)</f>
        <v/>
      </c>
      <c r="J60" s="175" t="str">
        <f>IF(J27&lt;=0,"",+J27/Y40)</f>
        <v/>
      </c>
      <c r="K60" s="176" t="str">
        <f>IF(K27&lt;=0,"",+K27/(Y40/12*$K$3))</f>
        <v/>
      </c>
      <c r="L60" s="175" t="str">
        <f>IF(L27&lt;=0,"",+L27/(Y40/12*$L$3))</f>
        <v/>
      </c>
      <c r="M60" s="174" t="str">
        <f>IF(M27&lt;=0,"",+M27/Y40)</f>
        <v/>
      </c>
      <c r="N60" s="174" t="str">
        <f>IF(N27&lt;=0,"",+N27/Y40)</f>
        <v/>
      </c>
      <c r="O60" s="174" t="str">
        <f>IF(O27&lt;=0,"",+O27/Y40)</f>
        <v/>
      </c>
      <c r="R60" s="1196" t="s">
        <v>430</v>
      </c>
    </row>
    <row r="61" spans="2:26" ht="11.25" hidden="1" customHeight="1" thickBot="1" x14ac:dyDescent="0.3">
      <c r="B61" s="173" t="s">
        <v>431</v>
      </c>
      <c r="C61" s="172"/>
      <c r="D61" s="172"/>
      <c r="E61" s="172"/>
      <c r="F61" s="171"/>
      <c r="G61" s="170" t="e">
        <f t="shared" ref="G61:O61" si="27">G27/(G40+G73)</f>
        <v>#DIV/0!</v>
      </c>
      <c r="H61" s="169" t="e">
        <f t="shared" si="27"/>
        <v>#DIV/0!</v>
      </c>
      <c r="I61" s="169" t="e">
        <f t="shared" si="27"/>
        <v>#DIV/0!</v>
      </c>
      <c r="J61" s="169" t="e">
        <f t="shared" si="27"/>
        <v>#DIV/0!</v>
      </c>
      <c r="K61" s="167" t="e">
        <f t="shared" si="27"/>
        <v>#DIV/0!</v>
      </c>
      <c r="L61" s="168" t="e">
        <f t="shared" si="27"/>
        <v>#DIV/0!</v>
      </c>
      <c r="M61" s="167" t="e">
        <f t="shared" si="27"/>
        <v>#DIV/0!</v>
      </c>
      <c r="N61" s="166" t="e">
        <f t="shared" si="27"/>
        <v>#DIV/0!</v>
      </c>
      <c r="O61" s="166" t="e">
        <f t="shared" si="27"/>
        <v>#DIV/0!</v>
      </c>
      <c r="Q61" s="1190" t="s">
        <v>426</v>
      </c>
      <c r="R61" s="1196" t="s">
        <v>430</v>
      </c>
    </row>
    <row r="62" spans="2:26" ht="5.0999999999999996" customHeight="1" thickBot="1" x14ac:dyDescent="0.3">
      <c r="B62" s="165"/>
      <c r="C62" s="150"/>
      <c r="D62" s="150"/>
      <c r="E62" s="150"/>
      <c r="F62" s="150"/>
      <c r="G62" s="164"/>
      <c r="H62" s="164"/>
      <c r="I62" s="164"/>
      <c r="J62" s="164"/>
      <c r="K62" s="164"/>
      <c r="L62" s="164"/>
      <c r="M62" s="164"/>
      <c r="N62" s="164"/>
      <c r="O62" s="164"/>
    </row>
    <row r="63" spans="2:26" ht="11.25" hidden="1" customHeight="1" x14ac:dyDescent="0.25">
      <c r="B63" s="2125" t="s">
        <v>432</v>
      </c>
      <c r="C63" s="2126"/>
      <c r="D63" s="2126"/>
      <c r="E63" s="2126"/>
      <c r="F63" s="163"/>
      <c r="G63" s="162"/>
      <c r="H63" s="162"/>
      <c r="I63" s="162"/>
      <c r="J63" s="162"/>
      <c r="K63" s="162"/>
      <c r="L63" s="162"/>
      <c r="M63" s="162"/>
      <c r="N63" s="161"/>
      <c r="O63" s="161"/>
      <c r="Q63" s="1190" t="s">
        <v>426</v>
      </c>
    </row>
    <row r="64" spans="2:26" ht="11.25" hidden="1" customHeight="1" x14ac:dyDescent="0.25">
      <c r="B64" s="2127" t="s">
        <v>433</v>
      </c>
      <c r="C64" s="2128"/>
      <c r="D64" s="2128"/>
      <c r="E64" s="2128"/>
      <c r="F64" s="155"/>
      <c r="G64" s="160">
        <f>(+C34+C35+C36+C37+C38+C39)*1000</f>
        <v>0</v>
      </c>
      <c r="H64" s="159">
        <f>+$G$64</f>
        <v>0</v>
      </c>
      <c r="I64" s="159">
        <f>+$G$64</f>
        <v>0</v>
      </c>
      <c r="J64" s="159">
        <f>+$G$64</f>
        <v>0</v>
      </c>
      <c r="K64" s="1210"/>
      <c r="L64" s="158"/>
      <c r="M64" s="157">
        <f>+G64</f>
        <v>0</v>
      </c>
      <c r="N64" s="156">
        <f>+G64</f>
        <v>0</v>
      </c>
      <c r="O64" s="156">
        <f>$G$64</f>
        <v>0</v>
      </c>
      <c r="Q64" s="1190" t="s">
        <v>426</v>
      </c>
    </row>
    <row r="65" spans="2:25" ht="11.25" hidden="1" customHeight="1" x14ac:dyDescent="0.25">
      <c r="B65" s="2129" t="s">
        <v>434</v>
      </c>
      <c r="C65" s="2130"/>
      <c r="D65" s="2128"/>
      <c r="E65" s="2128"/>
      <c r="F65" s="155"/>
      <c r="G65" s="152" t="str">
        <f>IF(G64=0,"",G64/G23)</f>
        <v/>
      </c>
      <c r="H65" s="154" t="str">
        <f>IF(H64=0,"",H64/H23)</f>
        <v/>
      </c>
      <c r="I65" s="154" t="str">
        <f>IF(I64=0,"",I64/I23)</f>
        <v/>
      </c>
      <c r="J65" s="154" t="str">
        <f>IF(J64=0,"",J64/J23)</f>
        <v/>
      </c>
      <c r="K65" s="1211"/>
      <c r="L65" s="153"/>
      <c r="M65" s="152" t="str">
        <f>IF(M64=0,"",M64/M23)</f>
        <v/>
      </c>
      <c r="N65" s="151" t="str">
        <f>IF(N64=0,"",N64/N23)</f>
        <v/>
      </c>
      <c r="O65" s="151" t="str">
        <f>IF(O64=0,"",O64/O23)</f>
        <v/>
      </c>
      <c r="Q65" s="1190" t="s">
        <v>426</v>
      </c>
    </row>
    <row r="66" spans="2:25" ht="5.0999999999999996" hidden="1" customHeight="1" thickBot="1" x14ac:dyDescent="0.3">
      <c r="B66" s="150"/>
      <c r="C66" s="150"/>
      <c r="D66" s="150"/>
      <c r="E66" s="150"/>
      <c r="F66" s="150"/>
      <c r="G66" s="149"/>
      <c r="H66" s="149"/>
      <c r="I66" s="149"/>
      <c r="J66" s="149"/>
      <c r="K66" s="149"/>
      <c r="L66" s="149"/>
      <c r="M66" s="149"/>
      <c r="N66" s="149"/>
      <c r="O66" s="149"/>
    </row>
    <row r="67" spans="2:25" ht="11.25" hidden="1" customHeight="1" thickBot="1" x14ac:dyDescent="0.3">
      <c r="B67" s="2134" t="s">
        <v>435</v>
      </c>
      <c r="C67" s="2135"/>
      <c r="D67" s="2135"/>
      <c r="E67" s="2135"/>
      <c r="F67" s="148"/>
      <c r="G67" s="147">
        <f t="shared" ref="G67:O67" si="28">G4</f>
        <v>44561</v>
      </c>
      <c r="H67" s="147">
        <f t="shared" si="28"/>
        <v>44926</v>
      </c>
      <c r="I67" s="147">
        <f t="shared" si="28"/>
        <v>45291</v>
      </c>
      <c r="J67" s="147">
        <f t="shared" si="28"/>
        <v>45657</v>
      </c>
      <c r="K67" s="146">
        <f t="shared" si="28"/>
        <v>45382</v>
      </c>
      <c r="L67" s="147">
        <f t="shared" si="28"/>
        <v>45747</v>
      </c>
      <c r="M67" s="146">
        <f t="shared" si="28"/>
        <v>45747</v>
      </c>
      <c r="N67" s="145">
        <f t="shared" si="28"/>
        <v>46022</v>
      </c>
      <c r="O67" s="145">
        <f t="shared" si="28"/>
        <v>46387</v>
      </c>
      <c r="Q67" s="1190" t="s">
        <v>426</v>
      </c>
    </row>
    <row r="68" spans="2:25" ht="11.25" hidden="1" customHeight="1" x14ac:dyDescent="0.25">
      <c r="B68" s="2136" t="s">
        <v>436</v>
      </c>
      <c r="C68" s="2137"/>
      <c r="D68" s="2137"/>
      <c r="E68" s="2137"/>
      <c r="F68" s="144"/>
      <c r="G68" s="142">
        <v>0</v>
      </c>
      <c r="H68" s="143">
        <v>0</v>
      </c>
      <c r="I68" s="143">
        <v>0</v>
      </c>
      <c r="J68" s="143">
        <v>0</v>
      </c>
      <c r="K68" s="142">
        <v>0</v>
      </c>
      <c r="L68" s="143">
        <v>0</v>
      </c>
      <c r="M68" s="142">
        <f>J68</f>
        <v>0</v>
      </c>
      <c r="N68" s="141">
        <v>0</v>
      </c>
      <c r="O68" s="141">
        <v>0</v>
      </c>
      <c r="Q68" s="1190" t="s">
        <v>426</v>
      </c>
      <c r="R68" s="1194" t="s">
        <v>393</v>
      </c>
    </row>
    <row r="69" spans="2:25" ht="11.25" hidden="1" customHeight="1" x14ac:dyDescent="0.25">
      <c r="B69" s="2138" t="s">
        <v>437</v>
      </c>
      <c r="C69" s="2139"/>
      <c r="D69" s="2139"/>
      <c r="E69" s="2139"/>
      <c r="F69" s="140"/>
      <c r="G69" s="139">
        <f t="shared" ref="G69:O69" si="29">G68*50%</f>
        <v>0</v>
      </c>
      <c r="H69" s="138">
        <f t="shared" si="29"/>
        <v>0</v>
      </c>
      <c r="I69" s="138">
        <f t="shared" si="29"/>
        <v>0</v>
      </c>
      <c r="J69" s="138">
        <f t="shared" si="29"/>
        <v>0</v>
      </c>
      <c r="K69" s="137">
        <f t="shared" si="29"/>
        <v>0</v>
      </c>
      <c r="L69" s="138">
        <f t="shared" si="29"/>
        <v>0</v>
      </c>
      <c r="M69" s="137">
        <f t="shared" si="29"/>
        <v>0</v>
      </c>
      <c r="N69" s="136">
        <f t="shared" si="29"/>
        <v>0</v>
      </c>
      <c r="O69" s="136">
        <f t="shared" si="29"/>
        <v>0</v>
      </c>
      <c r="Q69" s="1190" t="s">
        <v>426</v>
      </c>
    </row>
    <row r="70" spans="2:25" ht="11.25" hidden="1" customHeight="1" x14ac:dyDescent="0.25">
      <c r="B70" s="2140" t="s">
        <v>438</v>
      </c>
      <c r="C70" s="2141"/>
      <c r="D70" s="2141"/>
      <c r="E70" s="2141"/>
      <c r="F70" s="135"/>
      <c r="G70" s="134">
        <f>($G$19+$H$19+$J$19)/3</f>
        <v>0</v>
      </c>
      <c r="H70" s="133">
        <f>($G$19+$H$19+$J$19)/3</f>
        <v>0</v>
      </c>
      <c r="I70" s="133">
        <f>($G$19+$H$19+$J$19)/3</f>
        <v>0</v>
      </c>
      <c r="J70" s="133">
        <f>($G$19+$H$19+$J$19)/3</f>
        <v>0</v>
      </c>
      <c r="K70" s="132">
        <f>$J$70/12*K3</f>
        <v>0</v>
      </c>
      <c r="L70" s="133">
        <f>$J$70/12*L3</f>
        <v>0</v>
      </c>
      <c r="M70" s="132">
        <f>($G$19+$H$19+$J$19)/3</f>
        <v>0</v>
      </c>
      <c r="N70" s="131">
        <f>($G$19+$H$19+$J$19)/3</f>
        <v>0</v>
      </c>
      <c r="O70" s="131">
        <f>($G$19+$H$19+$J$19)/3</f>
        <v>0</v>
      </c>
      <c r="Q70" s="1190" t="s">
        <v>426</v>
      </c>
      <c r="R70" s="1194" t="s">
        <v>439</v>
      </c>
      <c r="T70" s="150"/>
    </row>
    <row r="71" spans="2:25" ht="11.25" hidden="1" customHeight="1" thickBot="1" x14ac:dyDescent="0.3">
      <c r="B71" s="2146" t="s">
        <v>440</v>
      </c>
      <c r="C71" s="2147"/>
      <c r="D71" s="2147"/>
      <c r="E71" s="2147"/>
      <c r="F71" s="130"/>
      <c r="G71" s="129">
        <v>0</v>
      </c>
      <c r="H71" s="128">
        <v>0</v>
      </c>
      <c r="I71" s="128">
        <v>0</v>
      </c>
      <c r="J71" s="128">
        <v>0</v>
      </c>
      <c r="K71" s="127">
        <v>0</v>
      </c>
      <c r="L71" s="128">
        <v>0</v>
      </c>
      <c r="M71" s="127">
        <v>0</v>
      </c>
      <c r="N71" s="126">
        <v>0</v>
      </c>
      <c r="O71" s="126">
        <v>0</v>
      </c>
      <c r="Q71" s="1190" t="s">
        <v>426</v>
      </c>
      <c r="R71" s="1212" t="s">
        <v>441</v>
      </c>
    </row>
    <row r="72" spans="2:25" ht="5.0999999999999996" hidden="1" customHeight="1" thickBot="1" x14ac:dyDescent="0.3">
      <c r="B72" s="150"/>
      <c r="C72" s="150"/>
      <c r="D72" s="150"/>
      <c r="E72" s="150"/>
      <c r="F72" s="150"/>
      <c r="G72" s="1213"/>
      <c r="H72" s="1213"/>
      <c r="I72" s="1213"/>
      <c r="J72" s="1213"/>
      <c r="K72" s="1213"/>
      <c r="L72" s="1213"/>
      <c r="M72" s="1213"/>
      <c r="N72" s="1213"/>
      <c r="O72" s="1213"/>
      <c r="Q72" s="1190" t="s">
        <v>426</v>
      </c>
    </row>
    <row r="73" spans="2:25" ht="11.25" hidden="1" customHeight="1" thickBot="1" x14ac:dyDescent="0.3">
      <c r="B73" s="2144" t="s">
        <v>442</v>
      </c>
      <c r="C73" s="2145"/>
      <c r="D73" s="2145"/>
      <c r="E73" s="2145"/>
      <c r="F73" s="2145"/>
      <c r="G73" s="1214">
        <v>0</v>
      </c>
      <c r="H73" s="1215">
        <v>0</v>
      </c>
      <c r="I73" s="1215">
        <v>0</v>
      </c>
      <c r="J73" s="1215">
        <v>0</v>
      </c>
      <c r="K73" s="1214">
        <v>0</v>
      </c>
      <c r="L73" s="1215">
        <v>0</v>
      </c>
      <c r="M73" s="1214">
        <v>0</v>
      </c>
      <c r="N73" s="1216">
        <v>0</v>
      </c>
      <c r="O73" s="1216">
        <v>0</v>
      </c>
      <c r="Q73" s="1190" t="s">
        <v>426</v>
      </c>
    </row>
    <row r="74" spans="2:25" ht="5.0999999999999996" hidden="1" customHeight="1" thickBot="1" x14ac:dyDescent="0.3">
      <c r="G74" s="164"/>
      <c r="I74" s="164"/>
      <c r="J74" s="164"/>
      <c r="K74" s="164"/>
      <c r="L74" s="164"/>
      <c r="N74" s="164"/>
      <c r="O74" s="164"/>
    </row>
    <row r="75" spans="2:25" ht="11.25" customHeight="1" x14ac:dyDescent="0.25">
      <c r="B75" s="2131" t="s">
        <v>443</v>
      </c>
      <c r="C75" s="2132"/>
      <c r="D75" s="2132"/>
      <c r="E75" s="2132"/>
      <c r="F75" s="2132"/>
      <c r="G75" s="2132"/>
      <c r="H75" s="2132"/>
      <c r="I75" s="2132"/>
      <c r="J75" s="2132"/>
      <c r="K75" s="2132"/>
      <c r="L75" s="2132"/>
      <c r="M75" s="2132"/>
      <c r="N75" s="2132"/>
      <c r="O75" s="2133"/>
      <c r="Q75" s="1190" t="s">
        <v>426</v>
      </c>
      <c r="R75" s="1191" t="s">
        <v>444</v>
      </c>
    </row>
    <row r="76" spans="2:25" ht="11.25" customHeight="1" x14ac:dyDescent="0.25">
      <c r="B76" s="2148" t="s">
        <v>445</v>
      </c>
      <c r="C76" s="2149"/>
      <c r="D76" s="2149"/>
      <c r="E76" s="2149"/>
      <c r="F76" s="1218"/>
      <c r="G76" s="309">
        <f>+$G$5/12</f>
        <v>0</v>
      </c>
      <c r="H76" s="309">
        <f>+H5/12</f>
        <v>0</v>
      </c>
      <c r="I76" s="309">
        <f>+I5/12</f>
        <v>0</v>
      </c>
      <c r="J76" s="309">
        <f>+J5/12</f>
        <v>0</v>
      </c>
      <c r="K76" s="310">
        <f>+K5/K3</f>
        <v>0</v>
      </c>
      <c r="L76" s="309">
        <f>+L5/L3</f>
        <v>0</v>
      </c>
      <c r="M76" s="311">
        <f>+M5/12</f>
        <v>0</v>
      </c>
      <c r="N76" s="311">
        <f>+N5/12</f>
        <v>0</v>
      </c>
      <c r="O76" s="311">
        <f>+O5/12</f>
        <v>0</v>
      </c>
    </row>
    <row r="77" spans="2:25" ht="11.25" customHeight="1" x14ac:dyDescent="0.25">
      <c r="B77" s="2150" t="s">
        <v>446</v>
      </c>
      <c r="C77" s="2151"/>
      <c r="D77" s="2151"/>
      <c r="E77" s="2151"/>
      <c r="F77" s="1219"/>
      <c r="G77" s="312" t="str">
        <f>IF(G5&gt;0,(+G14/12)/(G13/G5),"")</f>
        <v/>
      </c>
      <c r="H77" s="312" t="str">
        <f>IF(H5&gt;0,(+H14/12)/(H13/H5),"")</f>
        <v/>
      </c>
      <c r="I77" s="312" t="str">
        <f>IF(I5&gt;0,(+I14/12)/(I13/I5),"")</f>
        <v/>
      </c>
      <c r="J77" s="312" t="str">
        <f>IF(J5&gt;0,(+J14/12)/(J13/J5),"")</f>
        <v/>
      </c>
      <c r="K77" s="313" t="str">
        <f>IF(K5&gt;0,(+K14/K3)/(K13/K5),"")</f>
        <v/>
      </c>
      <c r="L77" s="312" t="str">
        <f>IF(L5&gt;0,(+L14/L3)/(L13/L5),"")</f>
        <v/>
      </c>
      <c r="M77" s="314" t="str">
        <f>IF(M5&gt;0,(+M14/12)/(M13/M5),"")</f>
        <v/>
      </c>
      <c r="N77" s="314" t="str">
        <f>IF(N5&gt;0,(+N14/12)/(N13/N5),"")</f>
        <v/>
      </c>
      <c r="O77" s="314" t="str">
        <f>IF(O5&gt;0,(+O14/12)/(O13/O5),"")</f>
        <v/>
      </c>
      <c r="Y77" s="1220"/>
    </row>
    <row r="78" spans="2:25" ht="11.25" customHeight="1" thickBot="1" x14ac:dyDescent="0.3">
      <c r="B78" s="2152" t="s">
        <v>447</v>
      </c>
      <c r="C78" s="2153"/>
      <c r="D78" s="2153"/>
      <c r="E78" s="2153"/>
      <c r="F78" s="1221"/>
      <c r="G78" s="315" t="str">
        <f t="shared" ref="G78:O78" si="30">IF(G76&gt;0,(+G76-G77)/G77,"")</f>
        <v/>
      </c>
      <c r="H78" s="315" t="str">
        <f t="shared" si="30"/>
        <v/>
      </c>
      <c r="I78" s="315" t="str">
        <f t="shared" si="30"/>
        <v/>
      </c>
      <c r="J78" s="315" t="str">
        <f t="shared" si="30"/>
        <v/>
      </c>
      <c r="K78" s="316" t="str">
        <f t="shared" si="30"/>
        <v/>
      </c>
      <c r="L78" s="315" t="str">
        <f t="shared" si="30"/>
        <v/>
      </c>
      <c r="M78" s="317" t="str">
        <f t="shared" si="30"/>
        <v/>
      </c>
      <c r="N78" s="317" t="str">
        <f t="shared" si="30"/>
        <v/>
      </c>
      <c r="O78" s="317" t="str">
        <f t="shared" si="30"/>
        <v/>
      </c>
    </row>
    <row r="79" spans="2:25" ht="5.0999999999999996" customHeight="1" thickBot="1" x14ac:dyDescent="0.3">
      <c r="G79" s="164"/>
      <c r="I79" s="164"/>
      <c r="J79" s="164"/>
      <c r="K79" s="164"/>
      <c r="L79" s="164"/>
      <c r="N79" s="164"/>
      <c r="O79" s="164"/>
    </row>
    <row r="80" spans="2:25" ht="11.25" customHeight="1" x14ac:dyDescent="0.25">
      <c r="B80" s="2131" t="s">
        <v>448</v>
      </c>
      <c r="C80" s="2132"/>
      <c r="D80" s="2132"/>
      <c r="E80" s="2132"/>
      <c r="F80" s="2132"/>
      <c r="G80" s="2132"/>
      <c r="H80" s="2132"/>
      <c r="I80" s="2132"/>
      <c r="J80" s="2132"/>
      <c r="K80" s="2132"/>
      <c r="L80" s="2132"/>
      <c r="M80" s="2132"/>
      <c r="N80" s="2132"/>
      <c r="O80" s="2133"/>
    </row>
    <row r="81" spans="2:18" ht="11.25" customHeight="1" x14ac:dyDescent="0.25">
      <c r="B81" s="2142">
        <v>0.1</v>
      </c>
      <c r="C81" s="2143"/>
      <c r="D81" s="2143"/>
      <c r="E81" s="2143"/>
      <c r="F81" s="305"/>
      <c r="G81" s="306">
        <f t="shared" ref="G81:O81" si="31">G5*(1-$B$81)</f>
        <v>0</v>
      </c>
      <c r="H81" s="306">
        <f t="shared" si="31"/>
        <v>0</v>
      </c>
      <c r="I81" s="306">
        <f t="shared" si="31"/>
        <v>0</v>
      </c>
      <c r="J81" s="306">
        <f t="shared" si="31"/>
        <v>0</v>
      </c>
      <c r="K81" s="307">
        <f t="shared" si="31"/>
        <v>0</v>
      </c>
      <c r="L81" s="306">
        <f t="shared" si="31"/>
        <v>0</v>
      </c>
      <c r="M81" s="308">
        <f t="shared" si="31"/>
        <v>0</v>
      </c>
      <c r="N81" s="308">
        <f t="shared" si="31"/>
        <v>0</v>
      </c>
      <c r="O81" s="308">
        <f t="shared" si="31"/>
        <v>0</v>
      </c>
      <c r="R81" s="1222" t="s">
        <v>449</v>
      </c>
    </row>
    <row r="82" spans="2:18" ht="11.25" hidden="1" customHeight="1" x14ac:dyDescent="0.25">
      <c r="B82" s="2117" t="s">
        <v>370</v>
      </c>
      <c r="C82" s="2118"/>
      <c r="D82" s="2118"/>
      <c r="E82" s="2118"/>
      <c r="F82" s="118"/>
      <c r="G82" s="116" t="e">
        <f t="shared" ref="G82:O82" si="32">+G81*G6+G8</f>
        <v>#VALUE!</v>
      </c>
      <c r="H82" s="116" t="e">
        <f t="shared" si="32"/>
        <v>#VALUE!</v>
      </c>
      <c r="I82" s="116" t="e">
        <f t="shared" si="32"/>
        <v>#VALUE!</v>
      </c>
      <c r="J82" s="116" t="e">
        <f t="shared" si="32"/>
        <v>#VALUE!</v>
      </c>
      <c r="K82" s="117" t="e">
        <f t="shared" si="32"/>
        <v>#VALUE!</v>
      </c>
      <c r="L82" s="116" t="e">
        <f t="shared" si="32"/>
        <v>#VALUE!</v>
      </c>
      <c r="M82" s="115" t="e">
        <f t="shared" si="32"/>
        <v>#VALUE!</v>
      </c>
      <c r="N82" s="115" t="e">
        <f t="shared" si="32"/>
        <v>#VALUE!</v>
      </c>
      <c r="O82" s="115" t="e">
        <f t="shared" si="32"/>
        <v>#VALUE!</v>
      </c>
      <c r="R82" s="1222" t="s">
        <v>450</v>
      </c>
    </row>
    <row r="83" spans="2:18" ht="11.25" hidden="1" customHeight="1" x14ac:dyDescent="0.25">
      <c r="B83" s="2117" t="s">
        <v>373</v>
      </c>
      <c r="C83" s="2118"/>
      <c r="D83" s="2118"/>
      <c r="E83" s="2118"/>
      <c r="F83" s="118"/>
      <c r="G83" s="124" t="e">
        <f t="shared" ref="G83:O83" si="33">+G10/G5*G81+G11</f>
        <v>#DIV/0!</v>
      </c>
      <c r="H83" s="124" t="e">
        <f t="shared" si="33"/>
        <v>#DIV/0!</v>
      </c>
      <c r="I83" s="124" t="e">
        <f t="shared" si="33"/>
        <v>#DIV/0!</v>
      </c>
      <c r="J83" s="124" t="e">
        <f t="shared" si="33"/>
        <v>#DIV/0!</v>
      </c>
      <c r="K83" s="125" t="e">
        <f t="shared" si="33"/>
        <v>#DIV/0!</v>
      </c>
      <c r="L83" s="124" t="e">
        <f t="shared" si="33"/>
        <v>#DIV/0!</v>
      </c>
      <c r="M83" s="123" t="e">
        <f t="shared" si="33"/>
        <v>#DIV/0!</v>
      </c>
      <c r="N83" s="123" t="e">
        <f t="shared" si="33"/>
        <v>#DIV/0!</v>
      </c>
      <c r="O83" s="123" t="e">
        <f t="shared" si="33"/>
        <v>#DIV/0!</v>
      </c>
      <c r="R83" s="1223"/>
    </row>
    <row r="84" spans="2:18" ht="11.25" hidden="1" customHeight="1" x14ac:dyDescent="0.25">
      <c r="B84" s="2117" t="s">
        <v>374</v>
      </c>
      <c r="C84" s="2118"/>
      <c r="D84" s="2118"/>
      <c r="E84" s="2118"/>
      <c r="F84" s="118"/>
      <c r="G84" s="116" t="e">
        <f t="shared" ref="G84:O84" si="34">+G82-G83</f>
        <v>#VALUE!</v>
      </c>
      <c r="H84" s="116" t="e">
        <f t="shared" si="34"/>
        <v>#VALUE!</v>
      </c>
      <c r="I84" s="116" t="e">
        <f t="shared" si="34"/>
        <v>#VALUE!</v>
      </c>
      <c r="J84" s="116" t="e">
        <f t="shared" si="34"/>
        <v>#VALUE!</v>
      </c>
      <c r="K84" s="117" t="e">
        <f t="shared" si="34"/>
        <v>#VALUE!</v>
      </c>
      <c r="L84" s="116" t="e">
        <f t="shared" si="34"/>
        <v>#VALUE!</v>
      </c>
      <c r="M84" s="115" t="e">
        <f t="shared" si="34"/>
        <v>#VALUE!</v>
      </c>
      <c r="N84" s="115" t="e">
        <f t="shared" si="34"/>
        <v>#VALUE!</v>
      </c>
      <c r="O84" s="115" t="e">
        <f t="shared" si="34"/>
        <v>#VALUE!</v>
      </c>
      <c r="R84" s="1223"/>
    </row>
    <row r="85" spans="2:18" ht="11.25" hidden="1" customHeight="1" x14ac:dyDescent="0.25">
      <c r="B85" s="2117" t="s">
        <v>380</v>
      </c>
      <c r="C85" s="2118"/>
      <c r="D85" s="2118"/>
      <c r="E85" s="2118"/>
      <c r="F85" s="118"/>
      <c r="G85" s="116" t="e">
        <f t="shared" ref="G85:O85" si="35">+G84-(G13-G18)</f>
        <v>#VALUE!</v>
      </c>
      <c r="H85" s="116" t="e">
        <f t="shared" si="35"/>
        <v>#VALUE!</v>
      </c>
      <c r="I85" s="116" t="e">
        <f t="shared" si="35"/>
        <v>#VALUE!</v>
      </c>
      <c r="J85" s="116" t="e">
        <f t="shared" si="35"/>
        <v>#VALUE!</v>
      </c>
      <c r="K85" s="117" t="e">
        <f t="shared" si="35"/>
        <v>#VALUE!</v>
      </c>
      <c r="L85" s="116" t="e">
        <f t="shared" si="35"/>
        <v>#VALUE!</v>
      </c>
      <c r="M85" s="115" t="e">
        <f t="shared" si="35"/>
        <v>#VALUE!</v>
      </c>
      <c r="N85" s="115" t="e">
        <f t="shared" si="35"/>
        <v>#VALUE!</v>
      </c>
      <c r="O85" s="115" t="e">
        <f t="shared" si="35"/>
        <v>#VALUE!</v>
      </c>
      <c r="R85" s="1223"/>
    </row>
    <row r="86" spans="2:18" ht="11.25" hidden="1" customHeight="1" x14ac:dyDescent="0.25">
      <c r="B86" s="2117" t="s">
        <v>394</v>
      </c>
      <c r="C86" s="2118"/>
      <c r="D86" s="2118"/>
      <c r="E86" s="2118"/>
      <c r="F86" s="118"/>
      <c r="G86" s="116" t="e">
        <f t="shared" ref="G86:O86" si="36">+G85-(G18-G27)</f>
        <v>#VALUE!</v>
      </c>
      <c r="H86" s="116" t="e">
        <f t="shared" si="36"/>
        <v>#VALUE!</v>
      </c>
      <c r="I86" s="116" t="e">
        <f t="shared" si="36"/>
        <v>#VALUE!</v>
      </c>
      <c r="J86" s="116" t="e">
        <f t="shared" si="36"/>
        <v>#VALUE!</v>
      </c>
      <c r="K86" s="117" t="e">
        <f t="shared" si="36"/>
        <v>#VALUE!</v>
      </c>
      <c r="L86" s="116" t="e">
        <f t="shared" si="36"/>
        <v>#VALUE!</v>
      </c>
      <c r="M86" s="115" t="e">
        <f t="shared" si="36"/>
        <v>#VALUE!</v>
      </c>
      <c r="N86" s="115" t="e">
        <f t="shared" si="36"/>
        <v>#VALUE!</v>
      </c>
      <c r="O86" s="115" t="e">
        <f t="shared" si="36"/>
        <v>#VALUE!</v>
      </c>
      <c r="R86" s="1223"/>
    </row>
    <row r="87" spans="2:18" ht="11.25" customHeight="1" x14ac:dyDescent="0.25">
      <c r="B87" s="2119" t="s">
        <v>451</v>
      </c>
      <c r="C87" s="2120"/>
      <c r="D87" s="2120"/>
      <c r="E87" s="2120"/>
      <c r="F87" s="293"/>
      <c r="G87" s="294" t="str">
        <f t="shared" ref="G87:O87" si="37">IF(G40=0,"",G86/G40)</f>
        <v/>
      </c>
      <c r="H87" s="294" t="str">
        <f t="shared" si="37"/>
        <v/>
      </c>
      <c r="I87" s="294" t="str">
        <f t="shared" si="37"/>
        <v/>
      </c>
      <c r="J87" s="294" t="str">
        <f t="shared" si="37"/>
        <v/>
      </c>
      <c r="K87" s="295" t="str">
        <f t="shared" si="37"/>
        <v/>
      </c>
      <c r="L87" s="294" t="str">
        <f t="shared" si="37"/>
        <v/>
      </c>
      <c r="M87" s="296" t="str">
        <f t="shared" si="37"/>
        <v/>
      </c>
      <c r="N87" s="296" t="str">
        <f t="shared" si="37"/>
        <v/>
      </c>
      <c r="O87" s="296" t="str">
        <f t="shared" si="37"/>
        <v/>
      </c>
      <c r="R87" s="1223"/>
    </row>
    <row r="88" spans="2:18" ht="11.25" customHeight="1" thickBot="1" x14ac:dyDescent="0.3">
      <c r="B88" s="2111" t="s">
        <v>452</v>
      </c>
      <c r="C88" s="2112"/>
      <c r="D88" s="2112"/>
      <c r="E88" s="2112"/>
      <c r="F88" s="297"/>
      <c r="G88" s="298" t="str">
        <f t="shared" ref="G88:O88" si="38">IF(G76&gt;0,G85/G82,"")</f>
        <v/>
      </c>
      <c r="H88" s="298" t="str">
        <f t="shared" si="38"/>
        <v/>
      </c>
      <c r="I88" s="298" t="str">
        <f t="shared" si="38"/>
        <v/>
      </c>
      <c r="J88" s="298" t="str">
        <f t="shared" si="38"/>
        <v/>
      </c>
      <c r="K88" s="299" t="str">
        <f t="shared" si="38"/>
        <v/>
      </c>
      <c r="L88" s="298" t="str">
        <f t="shared" si="38"/>
        <v/>
      </c>
      <c r="M88" s="300" t="str">
        <f t="shared" si="38"/>
        <v/>
      </c>
      <c r="N88" s="300" t="str">
        <f t="shared" si="38"/>
        <v/>
      </c>
      <c r="O88" s="300" t="str">
        <f t="shared" si="38"/>
        <v/>
      </c>
      <c r="R88" s="1223"/>
    </row>
    <row r="89" spans="2:18" ht="11.25" customHeight="1" x14ac:dyDescent="0.25">
      <c r="B89" s="2113">
        <v>0.05</v>
      </c>
      <c r="C89" s="2114"/>
      <c r="D89" s="2114"/>
      <c r="E89" s="2114"/>
      <c r="F89" s="301"/>
      <c r="G89" s="302">
        <f t="shared" ref="G89:O89" si="39">G5*(1-$B$89)</f>
        <v>0</v>
      </c>
      <c r="H89" s="302">
        <f t="shared" si="39"/>
        <v>0</v>
      </c>
      <c r="I89" s="302">
        <f t="shared" si="39"/>
        <v>0</v>
      </c>
      <c r="J89" s="302">
        <f t="shared" si="39"/>
        <v>0</v>
      </c>
      <c r="K89" s="303">
        <f t="shared" si="39"/>
        <v>0</v>
      </c>
      <c r="L89" s="302">
        <f t="shared" si="39"/>
        <v>0</v>
      </c>
      <c r="M89" s="304">
        <f t="shared" si="39"/>
        <v>0</v>
      </c>
      <c r="N89" s="304">
        <f t="shared" si="39"/>
        <v>0</v>
      </c>
      <c r="O89" s="304">
        <f t="shared" si="39"/>
        <v>0</v>
      </c>
      <c r="R89" s="1222" t="s">
        <v>453</v>
      </c>
    </row>
    <row r="90" spans="2:18" ht="11.25" hidden="1" customHeight="1" x14ac:dyDescent="0.25">
      <c r="B90" s="2115"/>
      <c r="C90" s="2116"/>
      <c r="D90" s="2116"/>
      <c r="E90" s="2116"/>
      <c r="F90" s="122"/>
      <c r="G90" s="120" t="str">
        <f t="shared" ref="G90:O90" si="40">IF(G76&gt;0,(+G6-(+G6*$B$89)),"")</f>
        <v/>
      </c>
      <c r="H90" s="120" t="str">
        <f t="shared" si="40"/>
        <v/>
      </c>
      <c r="I90" s="120" t="str">
        <f t="shared" si="40"/>
        <v/>
      </c>
      <c r="J90" s="120" t="str">
        <f t="shared" si="40"/>
        <v/>
      </c>
      <c r="K90" s="121" t="str">
        <f t="shared" si="40"/>
        <v/>
      </c>
      <c r="L90" s="120" t="str">
        <f t="shared" si="40"/>
        <v/>
      </c>
      <c r="M90" s="119" t="str">
        <f t="shared" si="40"/>
        <v/>
      </c>
      <c r="N90" s="119" t="str">
        <f t="shared" si="40"/>
        <v/>
      </c>
      <c r="O90" s="119" t="str">
        <f t="shared" si="40"/>
        <v/>
      </c>
    </row>
    <row r="91" spans="2:18" ht="11.25" hidden="1" customHeight="1" x14ac:dyDescent="0.25">
      <c r="B91" s="2117" t="s">
        <v>370</v>
      </c>
      <c r="C91" s="2118"/>
      <c r="D91" s="2118"/>
      <c r="E91" s="2118"/>
      <c r="F91" s="118"/>
      <c r="G91" s="116" t="e">
        <f t="shared" ref="G91:O91" si="41">(+G6-(+G6*$B$89))*G89+G8</f>
        <v>#VALUE!</v>
      </c>
      <c r="H91" s="116" t="e">
        <f t="shared" si="41"/>
        <v>#VALUE!</v>
      </c>
      <c r="I91" s="116" t="e">
        <f t="shared" si="41"/>
        <v>#VALUE!</v>
      </c>
      <c r="J91" s="116" t="e">
        <f t="shared" si="41"/>
        <v>#VALUE!</v>
      </c>
      <c r="K91" s="117" t="e">
        <f t="shared" si="41"/>
        <v>#VALUE!</v>
      </c>
      <c r="L91" s="116" t="e">
        <f t="shared" si="41"/>
        <v>#VALUE!</v>
      </c>
      <c r="M91" s="115" t="e">
        <f t="shared" si="41"/>
        <v>#VALUE!</v>
      </c>
      <c r="N91" s="115" t="e">
        <f t="shared" si="41"/>
        <v>#VALUE!</v>
      </c>
      <c r="O91" s="115" t="e">
        <f t="shared" si="41"/>
        <v>#VALUE!</v>
      </c>
    </row>
    <row r="92" spans="2:18" ht="11.25" hidden="1" customHeight="1" x14ac:dyDescent="0.25">
      <c r="B92" s="2117" t="s">
        <v>373</v>
      </c>
      <c r="C92" s="2118"/>
      <c r="D92" s="2118"/>
      <c r="E92" s="2118"/>
      <c r="F92" s="118"/>
      <c r="G92" s="116" t="e">
        <f t="shared" ref="G92:O92" si="42">(+G10/G5)*G89+G11</f>
        <v>#DIV/0!</v>
      </c>
      <c r="H92" s="116" t="e">
        <f t="shared" si="42"/>
        <v>#DIV/0!</v>
      </c>
      <c r="I92" s="116" t="e">
        <f t="shared" si="42"/>
        <v>#DIV/0!</v>
      </c>
      <c r="J92" s="116" t="e">
        <f t="shared" si="42"/>
        <v>#DIV/0!</v>
      </c>
      <c r="K92" s="117" t="e">
        <f t="shared" si="42"/>
        <v>#DIV/0!</v>
      </c>
      <c r="L92" s="116" t="e">
        <f t="shared" si="42"/>
        <v>#DIV/0!</v>
      </c>
      <c r="M92" s="115" t="e">
        <f t="shared" si="42"/>
        <v>#DIV/0!</v>
      </c>
      <c r="N92" s="115" t="e">
        <f t="shared" si="42"/>
        <v>#DIV/0!</v>
      </c>
      <c r="O92" s="115" t="e">
        <f t="shared" si="42"/>
        <v>#DIV/0!</v>
      </c>
    </row>
    <row r="93" spans="2:18" ht="11.25" hidden="1" customHeight="1" x14ac:dyDescent="0.25">
      <c r="B93" s="2117" t="s">
        <v>374</v>
      </c>
      <c r="C93" s="2118"/>
      <c r="D93" s="2118"/>
      <c r="E93" s="2118"/>
      <c r="F93" s="118"/>
      <c r="G93" s="116" t="e">
        <f t="shared" ref="G93:O93" si="43">+G91-G92</f>
        <v>#VALUE!</v>
      </c>
      <c r="H93" s="116" t="e">
        <f t="shared" si="43"/>
        <v>#VALUE!</v>
      </c>
      <c r="I93" s="116" t="e">
        <f t="shared" si="43"/>
        <v>#VALUE!</v>
      </c>
      <c r="J93" s="116" t="e">
        <f t="shared" si="43"/>
        <v>#VALUE!</v>
      </c>
      <c r="K93" s="117" t="e">
        <f t="shared" si="43"/>
        <v>#VALUE!</v>
      </c>
      <c r="L93" s="116" t="e">
        <f t="shared" si="43"/>
        <v>#VALUE!</v>
      </c>
      <c r="M93" s="115" t="e">
        <f t="shared" si="43"/>
        <v>#VALUE!</v>
      </c>
      <c r="N93" s="115" t="e">
        <f t="shared" si="43"/>
        <v>#VALUE!</v>
      </c>
      <c r="O93" s="115" t="e">
        <f t="shared" si="43"/>
        <v>#VALUE!</v>
      </c>
    </row>
    <row r="94" spans="2:18" ht="11.25" hidden="1" customHeight="1" x14ac:dyDescent="0.25">
      <c r="B94" s="2117" t="s">
        <v>380</v>
      </c>
      <c r="C94" s="2118"/>
      <c r="D94" s="2118"/>
      <c r="E94" s="2118"/>
      <c r="F94" s="118"/>
      <c r="G94" s="116" t="e">
        <f t="shared" ref="G94:O94" si="44">+G93-(G13-G18)</f>
        <v>#VALUE!</v>
      </c>
      <c r="H94" s="116" t="e">
        <f t="shared" si="44"/>
        <v>#VALUE!</v>
      </c>
      <c r="I94" s="116" t="e">
        <f t="shared" si="44"/>
        <v>#VALUE!</v>
      </c>
      <c r="J94" s="116" t="e">
        <f t="shared" si="44"/>
        <v>#VALUE!</v>
      </c>
      <c r="K94" s="117" t="e">
        <f t="shared" si="44"/>
        <v>#VALUE!</v>
      </c>
      <c r="L94" s="116" t="e">
        <f t="shared" si="44"/>
        <v>#VALUE!</v>
      </c>
      <c r="M94" s="115" t="e">
        <f t="shared" si="44"/>
        <v>#VALUE!</v>
      </c>
      <c r="N94" s="115" t="e">
        <f t="shared" si="44"/>
        <v>#VALUE!</v>
      </c>
      <c r="O94" s="115" t="e">
        <f t="shared" si="44"/>
        <v>#VALUE!</v>
      </c>
    </row>
    <row r="95" spans="2:18" ht="11.25" hidden="1" customHeight="1" x14ac:dyDescent="0.25">
      <c r="B95" s="2117" t="s">
        <v>394</v>
      </c>
      <c r="C95" s="2118"/>
      <c r="D95" s="2118"/>
      <c r="E95" s="2118"/>
      <c r="F95" s="118"/>
      <c r="G95" s="116" t="e">
        <f t="shared" ref="G95:O95" si="45">+G94-(G18-G27)</f>
        <v>#VALUE!</v>
      </c>
      <c r="H95" s="116" t="e">
        <f t="shared" si="45"/>
        <v>#VALUE!</v>
      </c>
      <c r="I95" s="116" t="e">
        <f t="shared" si="45"/>
        <v>#VALUE!</v>
      </c>
      <c r="J95" s="116" t="e">
        <f t="shared" si="45"/>
        <v>#VALUE!</v>
      </c>
      <c r="K95" s="117" t="e">
        <f t="shared" si="45"/>
        <v>#VALUE!</v>
      </c>
      <c r="L95" s="116" t="e">
        <f t="shared" si="45"/>
        <v>#VALUE!</v>
      </c>
      <c r="M95" s="115" t="e">
        <f t="shared" si="45"/>
        <v>#VALUE!</v>
      </c>
      <c r="N95" s="115" t="e">
        <f t="shared" si="45"/>
        <v>#VALUE!</v>
      </c>
      <c r="O95" s="115" t="e">
        <f t="shared" si="45"/>
        <v>#VALUE!</v>
      </c>
    </row>
    <row r="96" spans="2:18" ht="11.25" customHeight="1" x14ac:dyDescent="0.25">
      <c r="B96" s="2119" t="s">
        <v>451</v>
      </c>
      <c r="C96" s="2120"/>
      <c r="D96" s="2120"/>
      <c r="E96" s="2120"/>
      <c r="F96" s="293"/>
      <c r="G96" s="294" t="str">
        <f t="shared" ref="G96:O96" si="46">IF(G40=0,"",G95/G40)</f>
        <v/>
      </c>
      <c r="H96" s="294" t="str">
        <f t="shared" si="46"/>
        <v/>
      </c>
      <c r="I96" s="294" t="str">
        <f t="shared" si="46"/>
        <v/>
      </c>
      <c r="J96" s="294" t="str">
        <f t="shared" si="46"/>
        <v/>
      </c>
      <c r="K96" s="295" t="str">
        <f t="shared" si="46"/>
        <v/>
      </c>
      <c r="L96" s="294" t="str">
        <f t="shared" si="46"/>
        <v/>
      </c>
      <c r="M96" s="296" t="str">
        <f t="shared" si="46"/>
        <v/>
      </c>
      <c r="N96" s="296" t="str">
        <f t="shared" si="46"/>
        <v/>
      </c>
      <c r="O96" s="296" t="str">
        <f t="shared" si="46"/>
        <v/>
      </c>
    </row>
    <row r="97" spans="2:25" ht="11.25" customHeight="1" thickBot="1" x14ac:dyDescent="0.3">
      <c r="B97" s="2111" t="s">
        <v>452</v>
      </c>
      <c r="C97" s="2112"/>
      <c r="D97" s="2112"/>
      <c r="E97" s="2112"/>
      <c r="F97" s="297"/>
      <c r="G97" s="298" t="str">
        <f t="shared" ref="G97:O97" si="47">IF(G76&gt;0,G94/G91,"")</f>
        <v/>
      </c>
      <c r="H97" s="298" t="str">
        <f t="shared" si="47"/>
        <v/>
      </c>
      <c r="I97" s="298" t="str">
        <f t="shared" si="47"/>
        <v/>
      </c>
      <c r="J97" s="298" t="str">
        <f t="shared" si="47"/>
        <v/>
      </c>
      <c r="K97" s="299" t="str">
        <f t="shared" si="47"/>
        <v/>
      </c>
      <c r="L97" s="298" t="str">
        <f t="shared" si="47"/>
        <v/>
      </c>
      <c r="M97" s="300" t="str">
        <f t="shared" si="47"/>
        <v/>
      </c>
      <c r="N97" s="300" t="str">
        <f t="shared" si="47"/>
        <v/>
      </c>
      <c r="O97" s="300" t="str">
        <f t="shared" si="47"/>
        <v/>
      </c>
    </row>
    <row r="98" spans="2:25" ht="5.0999999999999996" customHeight="1" thickBot="1" x14ac:dyDescent="0.3">
      <c r="G98" s="1224"/>
      <c r="H98" s="1225"/>
      <c r="I98" s="1224"/>
      <c r="J98" s="1224"/>
      <c r="K98" s="1224"/>
      <c r="L98" s="1224"/>
      <c r="M98" s="1226"/>
      <c r="N98" s="1224"/>
      <c r="O98" s="1224"/>
    </row>
    <row r="99" spans="2:25" s="1194" customFormat="1" ht="11.25" customHeight="1" x14ac:dyDescent="0.25">
      <c r="C99" s="2107" t="s">
        <v>212</v>
      </c>
      <c r="D99" s="2105" t="s">
        <v>454</v>
      </c>
      <c r="E99" s="2105"/>
      <c r="F99" s="1227"/>
      <c r="G99" s="285" t="str">
        <f t="shared" ref="G99:O99" si="48">IF(G13=0,"",+G13/G9)</f>
        <v/>
      </c>
      <c r="H99" s="286" t="str">
        <f t="shared" si="48"/>
        <v/>
      </c>
      <c r="I99" s="286" t="str">
        <f t="shared" si="48"/>
        <v/>
      </c>
      <c r="J99" s="286" t="str">
        <f t="shared" si="48"/>
        <v/>
      </c>
      <c r="K99" s="285" t="str">
        <f t="shared" si="48"/>
        <v/>
      </c>
      <c r="L99" s="286" t="str">
        <f t="shared" si="48"/>
        <v/>
      </c>
      <c r="M99" s="287" t="str">
        <f t="shared" si="48"/>
        <v/>
      </c>
      <c r="N99" s="288" t="str">
        <f t="shared" si="48"/>
        <v/>
      </c>
      <c r="O99" s="288" t="str">
        <f t="shared" si="48"/>
        <v/>
      </c>
      <c r="Q99" s="1190"/>
      <c r="W99" s="1228"/>
      <c r="X99" s="1229"/>
    </row>
    <row r="100" spans="2:25" s="1194" customFormat="1" ht="11.25" customHeight="1" thickBot="1" x14ac:dyDescent="0.3">
      <c r="C100" s="2108"/>
      <c r="D100" s="2106" t="s">
        <v>455</v>
      </c>
      <c r="E100" s="2106"/>
      <c r="F100" s="1230"/>
      <c r="G100" s="289" t="str">
        <f t="shared" ref="G100:O100" si="49">IF(G18=0,"",+G18/G9)</f>
        <v/>
      </c>
      <c r="H100" s="290" t="str">
        <f t="shared" si="49"/>
        <v/>
      </c>
      <c r="I100" s="290" t="str">
        <f t="shared" si="49"/>
        <v/>
      </c>
      <c r="J100" s="290" t="str">
        <f t="shared" si="49"/>
        <v/>
      </c>
      <c r="K100" s="289" t="str">
        <f t="shared" si="49"/>
        <v/>
      </c>
      <c r="L100" s="290" t="str">
        <f t="shared" si="49"/>
        <v/>
      </c>
      <c r="M100" s="291" t="str">
        <f t="shared" si="49"/>
        <v/>
      </c>
      <c r="N100" s="292" t="str">
        <f t="shared" si="49"/>
        <v/>
      </c>
      <c r="O100" s="292" t="str">
        <f t="shared" si="49"/>
        <v/>
      </c>
      <c r="Q100" s="1190"/>
      <c r="W100" s="1228"/>
      <c r="X100" s="1229"/>
    </row>
    <row r="101" spans="2:25" ht="12" customHeight="1" x14ac:dyDescent="0.25">
      <c r="G101" s="164"/>
      <c r="I101" s="164"/>
      <c r="J101" s="164"/>
      <c r="K101" s="164"/>
      <c r="L101" s="164"/>
      <c r="N101" s="164"/>
      <c r="O101" s="164"/>
      <c r="W101" s="1228"/>
      <c r="X101" s="1231"/>
      <c r="Y101" s="1194"/>
    </row>
    <row r="102" spans="2:25" ht="12" customHeight="1" x14ac:dyDescent="0.25">
      <c r="B102" s="1189" t="s">
        <v>456</v>
      </c>
      <c r="H102" s="1189"/>
      <c r="W102" s="1228"/>
      <c r="X102" s="1231"/>
      <c r="Y102" s="1194"/>
    </row>
    <row r="103" spans="2:25" ht="12" customHeight="1" x14ac:dyDescent="0.25">
      <c r="H103" s="1189"/>
      <c r="W103" s="1228"/>
      <c r="X103" s="1231"/>
      <c r="Y103" s="1194"/>
    </row>
    <row r="104" spans="2:25" ht="12" customHeight="1" x14ac:dyDescent="0.25">
      <c r="V104" s="150"/>
      <c r="W104" s="1232"/>
      <c r="X104" s="1233"/>
      <c r="Y104" s="150"/>
    </row>
    <row r="105" spans="2:25" ht="12" customHeight="1" x14ac:dyDescent="0.25"/>
    <row r="106" spans="2:25" ht="12" customHeight="1" x14ac:dyDescent="0.25"/>
    <row r="107" spans="2:25" ht="12" customHeight="1" x14ac:dyDescent="0.25">
      <c r="B107" s="1729"/>
    </row>
    <row r="108" spans="2:25" ht="12" customHeight="1" x14ac:dyDescent="0.25"/>
    <row r="109" spans="2:25" ht="12" customHeight="1" x14ac:dyDescent="0.25"/>
    <row r="110" spans="2:25" ht="12" customHeight="1" x14ac:dyDescent="0.25"/>
    <row r="111" spans="2:25" ht="12" customHeight="1" x14ac:dyDescent="0.25"/>
    <row r="112" spans="2:25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</sheetData>
  <sheetProtection formatCells="0" formatColumns="0" formatRows="0" insertColumns="0" insertRows="0"/>
  <mergeCells count="79">
    <mergeCell ref="B10:E10"/>
    <mergeCell ref="B11:E11"/>
    <mergeCell ref="B12:E12"/>
    <mergeCell ref="B1:O1"/>
    <mergeCell ref="B2:E3"/>
    <mergeCell ref="F2:F4"/>
    <mergeCell ref="B4:E4"/>
    <mergeCell ref="B5:E5"/>
    <mergeCell ref="B6:E6"/>
    <mergeCell ref="B7:E7"/>
    <mergeCell ref="B8:E8"/>
    <mergeCell ref="B9:E9"/>
    <mergeCell ref="B18:E18"/>
    <mergeCell ref="B19:E19"/>
    <mergeCell ref="B22:E22"/>
    <mergeCell ref="B23:E23"/>
    <mergeCell ref="B24:E24"/>
    <mergeCell ref="B25:E25"/>
    <mergeCell ref="B41:E41"/>
    <mergeCell ref="B42:E42"/>
    <mergeCell ref="B44:E44"/>
    <mergeCell ref="B55:E55"/>
    <mergeCell ref="B26:E26"/>
    <mergeCell ref="B28:F28"/>
    <mergeCell ref="B13:E13"/>
    <mergeCell ref="B14:E14"/>
    <mergeCell ref="B15:E15"/>
    <mergeCell ref="B16:E16"/>
    <mergeCell ref="B17:E17"/>
    <mergeCell ref="B57:E57"/>
    <mergeCell ref="B27:E27"/>
    <mergeCell ref="B30:E30"/>
    <mergeCell ref="B31:E31"/>
    <mergeCell ref="B32:E32"/>
    <mergeCell ref="B33:O33"/>
    <mergeCell ref="B40:E40"/>
    <mergeCell ref="B47:E47"/>
    <mergeCell ref="B48:E48"/>
    <mergeCell ref="B49:E49"/>
    <mergeCell ref="B50:E50"/>
    <mergeCell ref="B51:E51"/>
    <mergeCell ref="B46:E46"/>
    <mergeCell ref="B81:E81"/>
    <mergeCell ref="B87:E87"/>
    <mergeCell ref="B73:F73"/>
    <mergeCell ref="B71:E71"/>
    <mergeCell ref="B75:O75"/>
    <mergeCell ref="B86:E86"/>
    <mergeCell ref="B76:E76"/>
    <mergeCell ref="B77:E77"/>
    <mergeCell ref="B78:E78"/>
    <mergeCell ref="B84:E84"/>
    <mergeCell ref="B85:E85"/>
    <mergeCell ref="B82:E82"/>
    <mergeCell ref="B83:E83"/>
    <mergeCell ref="B63:E63"/>
    <mergeCell ref="B64:E64"/>
    <mergeCell ref="B65:E65"/>
    <mergeCell ref="B80:O80"/>
    <mergeCell ref="B67:E67"/>
    <mergeCell ref="B68:E68"/>
    <mergeCell ref="B69:E69"/>
    <mergeCell ref="B70:E70"/>
    <mergeCell ref="D99:E99"/>
    <mergeCell ref="D100:E100"/>
    <mergeCell ref="C99:C100"/>
    <mergeCell ref="B29:E29"/>
    <mergeCell ref="B97:E97"/>
    <mergeCell ref="B89:E89"/>
    <mergeCell ref="B90:E90"/>
    <mergeCell ref="B91:E91"/>
    <mergeCell ref="B92:E92"/>
    <mergeCell ref="B93:E93"/>
    <mergeCell ref="B94:E94"/>
    <mergeCell ref="B95:E95"/>
    <mergeCell ref="B96:E96"/>
    <mergeCell ref="B88:E88"/>
    <mergeCell ref="B58:E58"/>
    <mergeCell ref="B59:E59"/>
  </mergeCells>
  <printOptions horizontalCentered="1"/>
  <pageMargins left="0.25" right="0.25" top="0.75" bottom="0.75" header="0.3" footer="0.3"/>
  <pageSetup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77E69-A18D-4D35-82A1-727A996B40BE}">
  <dimension ref="B1:M15"/>
  <sheetViews>
    <sheetView showGridLines="0" zoomScaleNormal="100" workbookViewId="0"/>
  </sheetViews>
  <sheetFormatPr defaultColWidth="8.85546875" defaultRowHeight="12" x14ac:dyDescent="0.2"/>
  <cols>
    <col min="1" max="1" width="1.7109375" style="106" customWidth="1"/>
    <col min="2" max="2" width="11.85546875" style="106" bestFit="1" customWidth="1"/>
    <col min="3" max="5" width="10.7109375" style="106" customWidth="1"/>
    <col min="6" max="6" width="0.85546875" style="106" customWidth="1"/>
    <col min="7" max="7" width="10.7109375" style="106" customWidth="1"/>
    <col min="8" max="8" width="11.28515625" style="106" bestFit="1" customWidth="1"/>
    <col min="9" max="9" width="11.42578125" style="106" customWidth="1"/>
    <col min="10" max="10" width="0.85546875" style="106" hidden="1" customWidth="1"/>
    <col min="11" max="11" width="8.5703125" style="106" hidden="1" customWidth="1"/>
    <col min="12" max="13" width="9.85546875" style="106" hidden="1" customWidth="1"/>
    <col min="14" max="16384" width="8.85546875" style="106"/>
  </cols>
  <sheetData>
    <row r="1" spans="2:13" ht="9.9499999999999993" customHeight="1" thickBot="1" x14ac:dyDescent="0.25"/>
    <row r="2" spans="2:13" s="110" customFormat="1" x14ac:dyDescent="0.2">
      <c r="B2" s="2196" t="s">
        <v>457</v>
      </c>
      <c r="C2" s="2198">
        <v>2023</v>
      </c>
      <c r="D2" s="2199"/>
      <c r="E2" s="2200"/>
      <c r="F2" s="423"/>
      <c r="G2" s="2198">
        <v>2024</v>
      </c>
      <c r="H2" s="2199"/>
      <c r="I2" s="2201"/>
      <c r="J2" s="423"/>
      <c r="K2" s="2202">
        <v>42825</v>
      </c>
      <c r="L2" s="2203"/>
      <c r="M2" s="2204"/>
    </row>
    <row r="3" spans="2:13" s="110" customFormat="1" x14ac:dyDescent="0.2">
      <c r="B3" s="2197"/>
      <c r="C3" s="424" t="s">
        <v>1</v>
      </c>
      <c r="D3" s="375" t="s">
        <v>458</v>
      </c>
      <c r="E3" s="425" t="s">
        <v>240</v>
      </c>
      <c r="G3" s="424" t="s">
        <v>1</v>
      </c>
      <c r="H3" s="375" t="s">
        <v>458</v>
      </c>
      <c r="I3" s="376" t="s">
        <v>240</v>
      </c>
      <c r="K3" s="473" t="s">
        <v>459</v>
      </c>
      <c r="L3" s="474" t="s">
        <v>458</v>
      </c>
      <c r="M3" s="475" t="s">
        <v>240</v>
      </c>
    </row>
    <row r="4" spans="2:13" x14ac:dyDescent="0.2">
      <c r="B4" s="426" t="s">
        <v>460</v>
      </c>
      <c r="C4" s="427">
        <v>0</v>
      </c>
      <c r="D4" s="428">
        <v>0</v>
      </c>
      <c r="E4" s="438">
        <f>+C4+D4</f>
        <v>0</v>
      </c>
      <c r="G4" s="427">
        <v>0</v>
      </c>
      <c r="H4" s="428">
        <v>0</v>
      </c>
      <c r="I4" s="444">
        <f>+G4+H4</f>
        <v>0</v>
      </c>
      <c r="K4" s="427">
        <v>0</v>
      </c>
      <c r="L4" s="428">
        <v>0</v>
      </c>
      <c r="M4" s="429">
        <f>+K4+L4</f>
        <v>0</v>
      </c>
    </row>
    <row r="5" spans="2:13" x14ac:dyDescent="0.2">
      <c r="B5" s="426" t="s">
        <v>460</v>
      </c>
      <c r="C5" s="427">
        <v>0</v>
      </c>
      <c r="D5" s="428">
        <v>0</v>
      </c>
      <c r="E5" s="438">
        <f>+C5+D5</f>
        <v>0</v>
      </c>
      <c r="G5" s="427">
        <v>0</v>
      </c>
      <c r="H5" s="428">
        <v>0</v>
      </c>
      <c r="I5" s="444">
        <f>+G5+H5</f>
        <v>0</v>
      </c>
      <c r="K5" s="427">
        <v>0</v>
      </c>
      <c r="L5" s="428">
        <v>0</v>
      </c>
      <c r="M5" s="429">
        <f>+K5+L5</f>
        <v>0</v>
      </c>
    </row>
    <row r="6" spans="2:13" x14ac:dyDescent="0.2">
      <c r="B6" s="426" t="s">
        <v>460</v>
      </c>
      <c r="C6" s="427">
        <v>0</v>
      </c>
      <c r="D6" s="428">
        <v>0</v>
      </c>
      <c r="E6" s="438">
        <f>+C6+D6</f>
        <v>0</v>
      </c>
      <c r="G6" s="427">
        <v>0</v>
      </c>
      <c r="H6" s="428">
        <v>0</v>
      </c>
      <c r="I6" s="444">
        <f>+G6+H6</f>
        <v>0</v>
      </c>
      <c r="K6" s="427">
        <v>0</v>
      </c>
      <c r="L6" s="428">
        <v>0</v>
      </c>
      <c r="M6" s="429">
        <f>+K6+L6</f>
        <v>0</v>
      </c>
    </row>
    <row r="7" spans="2:13" ht="12.75" thickBot="1" x14ac:dyDescent="0.25">
      <c r="B7" s="426" t="s">
        <v>460</v>
      </c>
      <c r="C7" s="430">
        <v>0</v>
      </c>
      <c r="D7" s="431">
        <v>0</v>
      </c>
      <c r="E7" s="439">
        <f>+C7+D7</f>
        <v>0</v>
      </c>
      <c r="G7" s="430">
        <v>0</v>
      </c>
      <c r="H7" s="431">
        <v>0</v>
      </c>
      <c r="I7" s="445">
        <f>+G7+H7</f>
        <v>0</v>
      </c>
      <c r="K7" s="430">
        <v>0</v>
      </c>
      <c r="L7" s="431">
        <v>0</v>
      </c>
      <c r="M7" s="432">
        <f>+K7+L7</f>
        <v>0</v>
      </c>
    </row>
    <row r="8" spans="2:13" s="110" customFormat="1" ht="13.5" thickTop="1" thickBot="1" x14ac:dyDescent="0.25">
      <c r="B8" s="355"/>
      <c r="C8" s="441">
        <f>SUM(C4:C7)</f>
        <v>0</v>
      </c>
      <c r="D8" s="442">
        <f>SUM(D4:D7)</f>
        <v>0</v>
      </c>
      <c r="E8" s="440">
        <f>SUM(E4:E7)</f>
        <v>0</v>
      </c>
      <c r="G8" s="441">
        <f>SUM(G4:G7)</f>
        <v>0</v>
      </c>
      <c r="H8" s="442">
        <f>SUM(H4:H7)</f>
        <v>0</v>
      </c>
      <c r="I8" s="443">
        <f>SUM(I4:I7)</f>
        <v>0</v>
      </c>
      <c r="J8" s="433"/>
      <c r="K8" s="476">
        <f>SUM(K4:K7)</f>
        <v>0</v>
      </c>
      <c r="L8" s="477">
        <f>SUM(L4:L7)</f>
        <v>0</v>
      </c>
      <c r="M8" s="478">
        <f>SUM(M4:M7)</f>
        <v>0</v>
      </c>
    </row>
    <row r="9" spans="2:13" s="110" customFormat="1" x14ac:dyDescent="0.2">
      <c r="B9" s="434" t="s">
        <v>461</v>
      </c>
      <c r="C9" s="435">
        <v>0</v>
      </c>
      <c r="D9" s="436">
        <v>0</v>
      </c>
      <c r="E9" s="1186">
        <f>C9+D9</f>
        <v>0</v>
      </c>
      <c r="F9" s="68"/>
      <c r="G9" s="435">
        <v>0</v>
      </c>
      <c r="H9" s="436">
        <v>0</v>
      </c>
      <c r="I9" s="1185">
        <f>G9+H9</f>
        <v>0</v>
      </c>
      <c r="K9" s="479"/>
      <c r="L9" s="479"/>
      <c r="M9" s="479"/>
    </row>
    <row r="10" spans="2:13" s="110" customFormat="1" ht="12.75" thickBot="1" x14ac:dyDescent="0.25">
      <c r="B10" s="355" t="s">
        <v>295</v>
      </c>
      <c r="C10" s="441">
        <f>+C8+C9</f>
        <v>0</v>
      </c>
      <c r="D10" s="442">
        <f>+D8+D9</f>
        <v>0</v>
      </c>
      <c r="E10" s="440">
        <f>+C10+D10</f>
        <v>0</v>
      </c>
      <c r="F10" s="433"/>
      <c r="G10" s="441">
        <f>+G8+G9</f>
        <v>0</v>
      </c>
      <c r="H10" s="442">
        <f>+H8+H9</f>
        <v>0</v>
      </c>
      <c r="I10" s="443">
        <f>+G10+H10</f>
        <v>0</v>
      </c>
      <c r="K10" s="479"/>
      <c r="L10" s="479"/>
      <c r="M10" s="479"/>
    </row>
    <row r="12" spans="2:13" x14ac:dyDescent="0.2">
      <c r="C12" s="437">
        <v>644200</v>
      </c>
      <c r="D12" s="437">
        <v>68517</v>
      </c>
      <c r="E12" s="437">
        <f>+C12+D12</f>
        <v>712717</v>
      </c>
      <c r="F12" s="437"/>
      <c r="G12" s="437">
        <v>1047950</v>
      </c>
      <c r="H12" s="437">
        <v>2022376</v>
      </c>
      <c r="I12" s="437">
        <f>+G12+H12</f>
        <v>3070326</v>
      </c>
    </row>
    <row r="14" spans="2:13" x14ac:dyDescent="0.2">
      <c r="C14" s="395">
        <f>+C10-C12</f>
        <v>-644200</v>
      </c>
      <c r="D14" s="395">
        <f>+D10-D12</f>
        <v>-68517</v>
      </c>
      <c r="E14" s="395">
        <f>+E10-E12</f>
        <v>-712717</v>
      </c>
      <c r="F14" s="395"/>
      <c r="G14" s="395">
        <f>+G10-G12</f>
        <v>-1047950</v>
      </c>
      <c r="H14" s="395">
        <f>+H8-H12</f>
        <v>-2022376</v>
      </c>
      <c r="I14" s="395">
        <f>+I10-I12</f>
        <v>-3070326</v>
      </c>
    </row>
    <row r="15" spans="2:13" x14ac:dyDescent="0.2">
      <c r="C15" s="480"/>
    </row>
  </sheetData>
  <mergeCells count="4">
    <mergeCell ref="B2:B3"/>
    <mergeCell ref="C2:E2"/>
    <mergeCell ref="G2:I2"/>
    <mergeCell ref="K2:M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B234-EF5A-45E5-BD8C-0C32A688A785}">
  <sheetPr>
    <pageSetUpPr fitToPage="1"/>
  </sheetPr>
  <dimension ref="B1:V11"/>
  <sheetViews>
    <sheetView showGridLines="0" zoomScaleNormal="100" workbookViewId="0"/>
  </sheetViews>
  <sheetFormatPr defaultColWidth="8.85546875" defaultRowHeight="12" x14ac:dyDescent="0.25"/>
  <cols>
    <col min="1" max="1" width="1.7109375" style="1189" customWidth="1"/>
    <col min="2" max="2" width="11.7109375" style="1189" bestFit="1" customWidth="1"/>
    <col min="3" max="3" width="7.140625" style="1189" customWidth="1"/>
    <col min="4" max="7" width="10.7109375" style="1189" customWidth="1"/>
    <col min="8" max="9" width="7.7109375" style="1189" customWidth="1"/>
    <col min="10" max="10" width="1.7109375" style="1189" customWidth="1"/>
    <col min="11" max="11" width="10.140625" style="1189" bestFit="1" customWidth="1"/>
    <col min="12" max="18" width="8.85546875" style="1189"/>
    <col min="19" max="19" width="0.42578125" style="1189" customWidth="1"/>
    <col min="20" max="20" width="8.85546875" style="1189"/>
    <col min="21" max="21" width="1.42578125" style="1189" customWidth="1"/>
    <col min="22" max="16384" width="8.85546875" style="1189"/>
  </cols>
  <sheetData>
    <row r="1" spans="2:22" ht="9.9499999999999993" customHeight="1" thickBot="1" x14ac:dyDescent="0.3"/>
    <row r="2" spans="2:22" ht="15" customHeight="1" thickBot="1" x14ac:dyDescent="0.3">
      <c r="B2" s="2205" t="s">
        <v>462</v>
      </c>
      <c r="C2" s="2206"/>
      <c r="D2" s="2206"/>
      <c r="E2" s="2206"/>
      <c r="F2" s="2206"/>
      <c r="G2" s="2206"/>
      <c r="H2" s="2206"/>
      <c r="I2" s="2207"/>
      <c r="K2" s="2085" t="s">
        <v>463</v>
      </c>
      <c r="L2" s="2086"/>
      <c r="M2" s="2086"/>
      <c r="N2" s="2086"/>
      <c r="O2" s="2086"/>
      <c r="P2" s="2086"/>
      <c r="Q2" s="2086"/>
      <c r="R2" s="2087"/>
    </row>
    <row r="3" spans="2:22" ht="15" customHeight="1" thickBot="1" x14ac:dyDescent="0.3">
      <c r="B3" s="1589"/>
      <c r="C3" s="1590" t="s">
        <v>464</v>
      </c>
      <c r="D3" s="1590" t="s">
        <v>116</v>
      </c>
      <c r="E3" s="1590" t="s">
        <v>465</v>
      </c>
      <c r="F3" s="1590" t="s">
        <v>466</v>
      </c>
      <c r="G3" s="1590" t="s">
        <v>15</v>
      </c>
      <c r="H3" s="1590" t="s">
        <v>103</v>
      </c>
      <c r="I3" s="1591" t="s">
        <v>102</v>
      </c>
      <c r="K3" s="1592"/>
      <c r="L3" s="1593"/>
      <c r="M3" s="1593" t="s">
        <v>467</v>
      </c>
      <c r="N3" s="1593"/>
      <c r="O3" s="2208" t="s">
        <v>468</v>
      </c>
      <c r="P3" s="2209"/>
      <c r="Q3" s="2209"/>
      <c r="R3" s="2210"/>
    </row>
    <row r="4" spans="2:22" ht="15" customHeight="1" x14ac:dyDescent="0.25">
      <c r="B4" s="1594" t="s">
        <v>469</v>
      </c>
      <c r="C4" s="1595">
        <v>0</v>
      </c>
      <c r="D4" s="1596"/>
      <c r="E4" s="1596"/>
      <c r="F4" s="1596"/>
      <c r="G4" s="1596"/>
      <c r="H4" s="1597" t="e">
        <f>+G4/E4</f>
        <v>#DIV/0!</v>
      </c>
      <c r="I4" s="1598" t="e">
        <f>+G4/D4</f>
        <v>#DIV/0!</v>
      </c>
      <c r="K4" s="1599"/>
      <c r="L4" s="1600" t="s">
        <v>464</v>
      </c>
      <c r="M4" s="1600" t="s">
        <v>470</v>
      </c>
      <c r="N4" s="1600" t="s">
        <v>471</v>
      </c>
      <c r="O4" s="1601">
        <v>0.2</v>
      </c>
      <c r="P4" s="1601">
        <v>0.3</v>
      </c>
      <c r="Q4" s="1601">
        <v>0.4</v>
      </c>
      <c r="R4" s="1602">
        <v>0.5</v>
      </c>
      <c r="T4" s="1603">
        <v>0.04</v>
      </c>
    </row>
    <row r="5" spans="2:22" ht="15" customHeight="1" thickBot="1" x14ac:dyDescent="0.3">
      <c r="B5" s="1594" t="s">
        <v>108</v>
      </c>
      <c r="C5" s="1595">
        <v>0</v>
      </c>
      <c r="D5" s="1596"/>
      <c r="E5" s="1596"/>
      <c r="F5" s="1596"/>
      <c r="G5" s="1596"/>
      <c r="H5" s="1597" t="e">
        <f>+G5/E5</f>
        <v>#DIV/0!</v>
      </c>
      <c r="I5" s="1598" t="e">
        <f>+G5/D5</f>
        <v>#DIV/0!</v>
      </c>
      <c r="K5" s="1604" t="s">
        <v>469</v>
      </c>
      <c r="L5" s="1605">
        <v>0</v>
      </c>
      <c r="M5" s="1606">
        <v>0</v>
      </c>
      <c r="N5" s="1607" t="e">
        <f>+L5/M5</f>
        <v>#DIV/0!</v>
      </c>
      <c r="O5" s="1608" t="e">
        <f>$L$5/(+$M$5-($M$5*O4))</f>
        <v>#DIV/0!</v>
      </c>
      <c r="P5" s="1608" t="e">
        <f>$L$5/(+$M$5-($M$5*P4))</f>
        <v>#DIV/0!</v>
      </c>
      <c r="Q5" s="1608" t="e">
        <f>$L$5/(+$M$5-($M$5*Q4))</f>
        <v>#DIV/0!</v>
      </c>
      <c r="R5" s="1609" t="e">
        <f>$L$5/(+$M$5-($M$5*R4))</f>
        <v>#DIV/0!</v>
      </c>
      <c r="T5" s="1610" t="e">
        <f>$L$5/(+$M$5-($M$5*T4))</f>
        <v>#DIV/0!</v>
      </c>
      <c r="V5" s="1196" t="s">
        <v>472</v>
      </c>
    </row>
    <row r="6" spans="2:22" ht="15" customHeight="1" thickBot="1" x14ac:dyDescent="0.3">
      <c r="B6" s="1644" t="s">
        <v>57</v>
      </c>
      <c r="C6" s="1645">
        <f>+C4+C5</f>
        <v>0</v>
      </c>
      <c r="D6" s="1646">
        <f>D5+D4</f>
        <v>0</v>
      </c>
      <c r="E6" s="1646">
        <f t="shared" ref="E6:F6" si="0">E5+E4</f>
        <v>0</v>
      </c>
      <c r="F6" s="1646">
        <f t="shared" si="0"/>
        <v>0</v>
      </c>
      <c r="G6" s="1646">
        <f>+G4+G5</f>
        <v>0</v>
      </c>
      <c r="H6" s="1647" t="e">
        <f>+G6/E6</f>
        <v>#DIV/0!</v>
      </c>
      <c r="I6" s="1648" t="e">
        <f>+G6/D6</f>
        <v>#DIV/0!</v>
      </c>
      <c r="K6" s="1520" t="s">
        <v>108</v>
      </c>
      <c r="L6" s="1611"/>
      <c r="M6" s="1612">
        <v>0</v>
      </c>
      <c r="N6" s="1613">
        <v>0</v>
      </c>
      <c r="O6" s="1614">
        <v>0</v>
      </c>
      <c r="P6" s="1614">
        <v>0</v>
      </c>
      <c r="Q6" s="1614">
        <v>0</v>
      </c>
      <c r="R6" s="1615">
        <v>0</v>
      </c>
      <c r="T6" s="1616"/>
    </row>
    <row r="7" spans="2:22" ht="15" customHeight="1" thickBot="1" x14ac:dyDescent="0.3">
      <c r="B7" s="1617" t="s">
        <v>473</v>
      </c>
      <c r="C7" s="1618"/>
      <c r="D7" s="1619" t="e">
        <f>+D6/C6</f>
        <v>#DIV/0!</v>
      </c>
      <c r="E7" s="1619" t="e">
        <f>+E6/C6</f>
        <v>#DIV/0!</v>
      </c>
      <c r="F7" s="1619" t="e">
        <f>+F6/C6</f>
        <v>#DIV/0!</v>
      </c>
      <c r="G7" s="1619" t="e">
        <f>+G6/C6</f>
        <v>#DIV/0!</v>
      </c>
      <c r="H7" s="1620" t="e">
        <f>+G7/E7</f>
        <v>#DIV/0!</v>
      </c>
      <c r="I7" s="1621" t="e">
        <f>+G7/D7</f>
        <v>#DIV/0!</v>
      </c>
      <c r="K7" s="1643" t="s">
        <v>57</v>
      </c>
      <c r="L7" s="1622">
        <f>+L5+L6</f>
        <v>0</v>
      </c>
      <c r="M7" s="1623">
        <f>+M6</f>
        <v>0</v>
      </c>
      <c r="N7" s="1624" t="e">
        <f>+L7/M7</f>
        <v>#DIV/0!</v>
      </c>
      <c r="O7" s="1624" t="e">
        <f>$L$7/(+$M$7-($M$7*O4))</f>
        <v>#DIV/0!</v>
      </c>
      <c r="P7" s="1624" t="e">
        <f>$L$7/(+$M$7-($M$7*P4))</f>
        <v>#DIV/0!</v>
      </c>
      <c r="Q7" s="1624" t="e">
        <f>$L$7/(+$M$7-($M$7*Q4))</f>
        <v>#DIV/0!</v>
      </c>
      <c r="R7" s="1625" t="e">
        <f>$L$7/(+$M$7-($M$7*R4))</f>
        <v>#DIV/0!</v>
      </c>
      <c r="T7" s="1616"/>
    </row>
    <row r="8" spans="2:22" x14ac:dyDescent="0.25">
      <c r="B8" s="1588"/>
      <c r="C8" s="1588"/>
      <c r="D8" s="1588"/>
      <c r="E8" s="1588"/>
      <c r="F8" s="1588"/>
      <c r="G8" s="1588"/>
      <c r="H8" s="1588"/>
      <c r="I8" s="1588"/>
      <c r="L8" s="1217"/>
      <c r="M8" s="1217"/>
      <c r="N8" s="1217"/>
      <c r="O8" s="1217"/>
      <c r="P8" s="1217"/>
      <c r="Q8" s="1217"/>
      <c r="R8" s="1217"/>
    </row>
    <row r="9" spans="2:22" ht="13.5" customHeight="1" thickBot="1" x14ac:dyDescent="0.3">
      <c r="L9" s="1626">
        <f>+L5</f>
        <v>0</v>
      </c>
      <c r="M9" s="1627">
        <f>+M5-M10</f>
        <v>0</v>
      </c>
      <c r="N9" s="1628" t="e">
        <f>+L9/M9</f>
        <v>#DIV/0!</v>
      </c>
      <c r="T9" s="1629"/>
    </row>
    <row r="10" spans="2:22" x14ac:dyDescent="0.25">
      <c r="M10" s="1629">
        <f>+M5*T4</f>
        <v>0</v>
      </c>
    </row>
    <row r="11" spans="2:22" x14ac:dyDescent="0.25">
      <c r="M11" s="1630" t="e">
        <f>+M10/M5</f>
        <v>#DIV/0!</v>
      </c>
      <c r="N11" s="1198" t="s">
        <v>474</v>
      </c>
    </row>
  </sheetData>
  <sheetProtection formatCells="0" formatColumns="0" formatRows="0" insertColumns="0" insertRows="0"/>
  <mergeCells count="3">
    <mergeCell ref="K2:R2"/>
    <mergeCell ref="B2:I2"/>
    <mergeCell ref="O3:R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91CE-6628-4145-9978-23A1F5896EAB}">
  <sheetPr>
    <pageSetUpPr fitToPage="1"/>
  </sheetPr>
  <dimension ref="B1:Q15"/>
  <sheetViews>
    <sheetView showGridLines="0" zoomScaleNormal="100" workbookViewId="0"/>
  </sheetViews>
  <sheetFormatPr defaultColWidth="8.85546875" defaultRowHeight="12.75" x14ac:dyDescent="0.25"/>
  <cols>
    <col min="1" max="1" width="1.7109375" style="1430" customWidth="1"/>
    <col min="2" max="2" width="25.7109375" style="1430" customWidth="1"/>
    <col min="3" max="3" width="12.7109375" style="1439" customWidth="1"/>
    <col min="4" max="4" width="8" style="1450" bestFit="1" customWidth="1"/>
    <col min="5" max="6" width="12.7109375" style="1439" customWidth="1"/>
    <col min="7" max="7" width="8" style="1449" bestFit="1" customWidth="1"/>
    <col min="8" max="8" width="12.7109375" style="1439" customWidth="1"/>
    <col min="9" max="9" width="8" style="1450" customWidth="1"/>
    <col min="10" max="10" width="12.7109375" style="1443" customWidth="1"/>
    <col min="11" max="11" width="12.7109375" style="1439" customWidth="1"/>
    <col min="12" max="12" width="8.140625" style="1450" customWidth="1"/>
    <col min="13" max="13" width="6" style="1431" customWidth="1"/>
    <col min="14" max="14" width="12.7109375" style="1443" customWidth="1"/>
    <col min="15" max="15" width="8.5703125" style="1449" customWidth="1"/>
    <col min="16" max="16" width="12.7109375" style="1439" customWidth="1"/>
    <col min="17" max="17" width="8.85546875" style="1450" customWidth="1"/>
    <col min="18" max="16384" width="8.85546875" style="1430"/>
  </cols>
  <sheetData>
    <row r="1" spans="2:17" ht="9.9499999999999993" customHeight="1" thickBot="1" x14ac:dyDescent="0.3"/>
    <row r="2" spans="2:17" s="1448" customFormat="1" ht="38.25" x14ac:dyDescent="0.25">
      <c r="B2" s="1651" t="s">
        <v>36</v>
      </c>
      <c r="C2" s="1652" t="s">
        <v>37</v>
      </c>
      <c r="D2" s="1653" t="s">
        <v>38</v>
      </c>
      <c r="E2" s="1654" t="s">
        <v>39</v>
      </c>
      <c r="F2" s="1654" t="s">
        <v>40</v>
      </c>
      <c r="G2" s="1655" t="s">
        <v>38</v>
      </c>
      <c r="H2" s="1652" t="s">
        <v>41</v>
      </c>
      <c r="I2" s="1653" t="s">
        <v>38</v>
      </c>
      <c r="J2" s="1656" t="s">
        <v>39</v>
      </c>
      <c r="K2" s="1654" t="s">
        <v>42</v>
      </c>
      <c r="L2" s="1655" t="s">
        <v>38</v>
      </c>
      <c r="M2" s="1657" t="s">
        <v>43</v>
      </c>
      <c r="N2" s="1656" t="s">
        <v>44</v>
      </c>
      <c r="O2" s="1658" t="s">
        <v>38</v>
      </c>
      <c r="P2" s="1654" t="s">
        <v>45</v>
      </c>
      <c r="Q2" s="1655" t="s">
        <v>38</v>
      </c>
    </row>
    <row r="3" spans="2:17" ht="15" customHeight="1" x14ac:dyDescent="0.25">
      <c r="B3" s="1451" t="s">
        <v>46</v>
      </c>
      <c r="C3" s="1455">
        <v>0</v>
      </c>
      <c r="D3" s="1432" t="e">
        <f t="shared" ref="D3:D12" si="0">C3/$C$15</f>
        <v>#DIV/0!</v>
      </c>
      <c r="E3" s="1447">
        <f>F3-C3</f>
        <v>0</v>
      </c>
      <c r="F3" s="1440">
        <v>0</v>
      </c>
      <c r="G3" s="1433" t="e">
        <f t="shared" ref="G3:G14" si="1">F3/$F$15</f>
        <v>#DIV/0!</v>
      </c>
      <c r="H3" s="1455">
        <v>0</v>
      </c>
      <c r="I3" s="1432" t="e">
        <f t="shared" ref="I3:I14" si="2">H3/$H$15</f>
        <v>#DIV/0!</v>
      </c>
      <c r="J3" s="1463">
        <f>K3-H3</f>
        <v>0</v>
      </c>
      <c r="K3" s="1440">
        <v>0</v>
      </c>
      <c r="L3" s="1433" t="e">
        <f t="shared" ref="L3:L14" si="3">K3/$K$15</f>
        <v>#DIV/0!</v>
      </c>
      <c r="M3" s="1458"/>
      <c r="N3" s="1445">
        <v>0</v>
      </c>
      <c r="O3" s="1465" t="e">
        <f>N3/$N$15</f>
        <v>#DIV/0!</v>
      </c>
      <c r="P3" s="1447">
        <f>F3+K3+N3</f>
        <v>0</v>
      </c>
      <c r="Q3" s="1433" t="e">
        <f>P3/$P$15</f>
        <v>#DIV/0!</v>
      </c>
    </row>
    <row r="4" spans="2:17" ht="15" customHeight="1" x14ac:dyDescent="0.25">
      <c r="B4" s="1452" t="s">
        <v>47</v>
      </c>
      <c r="C4" s="1456">
        <v>0</v>
      </c>
      <c r="D4" s="1436" t="e">
        <f t="shared" si="0"/>
        <v>#DIV/0!</v>
      </c>
      <c r="E4" s="1461">
        <f t="shared" ref="E4:E14" si="4">F4-C4</f>
        <v>0</v>
      </c>
      <c r="F4" s="1441">
        <v>0</v>
      </c>
      <c r="G4" s="1434" t="e">
        <f t="shared" si="1"/>
        <v>#DIV/0!</v>
      </c>
      <c r="H4" s="1456">
        <v>0</v>
      </c>
      <c r="I4" s="1436" t="e">
        <f t="shared" si="2"/>
        <v>#DIV/0!</v>
      </c>
      <c r="J4" s="1463">
        <f t="shared" ref="J4:J12" si="5">K4-H4</f>
        <v>0</v>
      </c>
      <c r="K4" s="1441">
        <v>0</v>
      </c>
      <c r="L4" s="1434" t="e">
        <f t="shared" si="3"/>
        <v>#DIV/0!</v>
      </c>
      <c r="M4" s="1459"/>
      <c r="N4" s="1446">
        <v>0</v>
      </c>
      <c r="O4" s="1465" t="e">
        <f t="shared" ref="O4:O14" si="6">N4/$N$15</f>
        <v>#DIV/0!</v>
      </c>
      <c r="P4" s="1447">
        <f t="shared" ref="P4:P14" si="7">F4+K4</f>
        <v>0</v>
      </c>
      <c r="Q4" s="1433" t="e">
        <f t="shared" ref="Q4:Q14" si="8">P4/$P$15</f>
        <v>#DIV/0!</v>
      </c>
    </row>
    <row r="5" spans="2:17" ht="15" customHeight="1" x14ac:dyDescent="0.25">
      <c r="B5" s="1453" t="s">
        <v>48</v>
      </c>
      <c r="C5" s="1456">
        <v>0</v>
      </c>
      <c r="D5" s="1436" t="e">
        <f t="shared" si="0"/>
        <v>#DIV/0!</v>
      </c>
      <c r="E5" s="1461">
        <f t="shared" si="4"/>
        <v>0</v>
      </c>
      <c r="F5" s="1441">
        <v>0</v>
      </c>
      <c r="G5" s="1434" t="e">
        <f t="shared" si="1"/>
        <v>#DIV/0!</v>
      </c>
      <c r="H5" s="1456">
        <v>0</v>
      </c>
      <c r="I5" s="1436" t="e">
        <f t="shared" si="2"/>
        <v>#DIV/0!</v>
      </c>
      <c r="J5" s="1463">
        <f t="shared" si="5"/>
        <v>0</v>
      </c>
      <c r="K5" s="1441">
        <v>0</v>
      </c>
      <c r="L5" s="1434" t="e">
        <f t="shared" si="3"/>
        <v>#DIV/0!</v>
      </c>
      <c r="M5" s="1459"/>
      <c r="N5" s="1446">
        <v>0</v>
      </c>
      <c r="O5" s="1465" t="e">
        <f t="shared" si="6"/>
        <v>#DIV/0!</v>
      </c>
      <c r="P5" s="1447">
        <f t="shared" si="7"/>
        <v>0</v>
      </c>
      <c r="Q5" s="1433" t="e">
        <f t="shared" si="8"/>
        <v>#DIV/0!</v>
      </c>
    </row>
    <row r="6" spans="2:17" ht="15" customHeight="1" x14ac:dyDescent="0.25">
      <c r="B6" s="1452" t="s">
        <v>49</v>
      </c>
      <c r="C6" s="1456">
        <v>0</v>
      </c>
      <c r="D6" s="1436" t="e">
        <f t="shared" si="0"/>
        <v>#DIV/0!</v>
      </c>
      <c r="E6" s="1461">
        <f t="shared" si="4"/>
        <v>0</v>
      </c>
      <c r="F6" s="1441">
        <v>0</v>
      </c>
      <c r="G6" s="1434" t="e">
        <f t="shared" si="1"/>
        <v>#DIV/0!</v>
      </c>
      <c r="H6" s="1456">
        <v>0</v>
      </c>
      <c r="I6" s="1436" t="e">
        <f t="shared" si="2"/>
        <v>#DIV/0!</v>
      </c>
      <c r="J6" s="1463">
        <f t="shared" si="5"/>
        <v>0</v>
      </c>
      <c r="K6" s="1441">
        <v>0</v>
      </c>
      <c r="L6" s="1434" t="e">
        <f t="shared" si="3"/>
        <v>#DIV/0!</v>
      </c>
      <c r="M6" s="1459"/>
      <c r="N6" s="1446">
        <v>0</v>
      </c>
      <c r="O6" s="1465" t="e">
        <f t="shared" si="6"/>
        <v>#DIV/0!</v>
      </c>
      <c r="P6" s="1447">
        <f t="shared" si="7"/>
        <v>0</v>
      </c>
      <c r="Q6" s="1433" t="e">
        <f t="shared" si="8"/>
        <v>#DIV/0!</v>
      </c>
    </row>
    <row r="7" spans="2:17" ht="15" customHeight="1" x14ac:dyDescent="0.25">
      <c r="B7" s="1452" t="s">
        <v>50</v>
      </c>
      <c r="C7" s="1456">
        <v>0</v>
      </c>
      <c r="D7" s="1436" t="e">
        <f t="shared" si="0"/>
        <v>#DIV/0!</v>
      </c>
      <c r="E7" s="1461">
        <f t="shared" si="4"/>
        <v>0</v>
      </c>
      <c r="F7" s="1441">
        <v>0</v>
      </c>
      <c r="G7" s="1434" t="e">
        <f t="shared" si="1"/>
        <v>#DIV/0!</v>
      </c>
      <c r="H7" s="1456">
        <v>0</v>
      </c>
      <c r="I7" s="1436" t="e">
        <f t="shared" si="2"/>
        <v>#DIV/0!</v>
      </c>
      <c r="J7" s="1463">
        <f t="shared" si="5"/>
        <v>0</v>
      </c>
      <c r="K7" s="1441">
        <v>0</v>
      </c>
      <c r="L7" s="1434" t="e">
        <f t="shared" si="3"/>
        <v>#DIV/0!</v>
      </c>
      <c r="M7" s="1459"/>
      <c r="N7" s="1446">
        <v>0</v>
      </c>
      <c r="O7" s="1465" t="e">
        <f t="shared" si="6"/>
        <v>#DIV/0!</v>
      </c>
      <c r="P7" s="1447">
        <f t="shared" si="7"/>
        <v>0</v>
      </c>
      <c r="Q7" s="1433" t="e">
        <f t="shared" si="8"/>
        <v>#DIV/0!</v>
      </c>
    </row>
    <row r="8" spans="2:17" ht="15" customHeight="1" x14ac:dyDescent="0.25">
      <c r="B8" s="1452" t="s">
        <v>51</v>
      </c>
      <c r="C8" s="1456">
        <v>0</v>
      </c>
      <c r="D8" s="1436" t="e">
        <f t="shared" si="0"/>
        <v>#DIV/0!</v>
      </c>
      <c r="E8" s="1461">
        <f t="shared" si="4"/>
        <v>0</v>
      </c>
      <c r="F8" s="1441">
        <v>0</v>
      </c>
      <c r="G8" s="1434" t="e">
        <f t="shared" si="1"/>
        <v>#DIV/0!</v>
      </c>
      <c r="H8" s="1456">
        <v>0</v>
      </c>
      <c r="I8" s="1436" t="e">
        <f t="shared" si="2"/>
        <v>#DIV/0!</v>
      </c>
      <c r="J8" s="1463">
        <f t="shared" si="5"/>
        <v>0</v>
      </c>
      <c r="K8" s="1441">
        <v>0</v>
      </c>
      <c r="L8" s="1434" t="e">
        <f t="shared" si="3"/>
        <v>#DIV/0!</v>
      </c>
      <c r="M8" s="1459"/>
      <c r="N8" s="1446">
        <v>0</v>
      </c>
      <c r="O8" s="1465" t="e">
        <f t="shared" si="6"/>
        <v>#DIV/0!</v>
      </c>
      <c r="P8" s="1447">
        <f t="shared" si="7"/>
        <v>0</v>
      </c>
      <c r="Q8" s="1433" t="e">
        <f t="shared" si="8"/>
        <v>#DIV/0!</v>
      </c>
    </row>
    <row r="9" spans="2:17" ht="15" customHeight="1" x14ac:dyDescent="0.25">
      <c r="B9" s="1452" t="s">
        <v>52</v>
      </c>
      <c r="C9" s="1456">
        <v>0</v>
      </c>
      <c r="D9" s="1436" t="e">
        <f t="shared" si="0"/>
        <v>#DIV/0!</v>
      </c>
      <c r="E9" s="1461">
        <f t="shared" si="4"/>
        <v>0</v>
      </c>
      <c r="F9" s="1441">
        <v>0</v>
      </c>
      <c r="G9" s="1434" t="e">
        <f t="shared" si="1"/>
        <v>#DIV/0!</v>
      </c>
      <c r="H9" s="1456">
        <v>0</v>
      </c>
      <c r="I9" s="1436" t="e">
        <f t="shared" si="2"/>
        <v>#DIV/0!</v>
      </c>
      <c r="J9" s="1463">
        <f t="shared" si="5"/>
        <v>0</v>
      </c>
      <c r="K9" s="1441">
        <v>0</v>
      </c>
      <c r="L9" s="1434" t="e">
        <f t="shared" si="3"/>
        <v>#DIV/0!</v>
      </c>
      <c r="M9" s="1459"/>
      <c r="N9" s="1446">
        <v>0</v>
      </c>
      <c r="O9" s="1465" t="e">
        <f t="shared" si="6"/>
        <v>#DIV/0!</v>
      </c>
      <c r="P9" s="1447">
        <f t="shared" si="7"/>
        <v>0</v>
      </c>
      <c r="Q9" s="1433" t="e">
        <f t="shared" si="8"/>
        <v>#DIV/0!</v>
      </c>
    </row>
    <row r="10" spans="2:17" ht="15" customHeight="1" x14ac:dyDescent="0.25">
      <c r="B10" s="1452" t="s">
        <v>53</v>
      </c>
      <c r="C10" s="1456">
        <v>0</v>
      </c>
      <c r="D10" s="1436" t="e">
        <f t="shared" si="0"/>
        <v>#DIV/0!</v>
      </c>
      <c r="E10" s="1461">
        <f t="shared" si="4"/>
        <v>0</v>
      </c>
      <c r="F10" s="1441">
        <v>0</v>
      </c>
      <c r="G10" s="1434" t="e">
        <f t="shared" si="1"/>
        <v>#DIV/0!</v>
      </c>
      <c r="H10" s="1456">
        <v>0</v>
      </c>
      <c r="I10" s="1436" t="e">
        <f t="shared" si="2"/>
        <v>#DIV/0!</v>
      </c>
      <c r="J10" s="1463">
        <f>K10-H10</f>
        <v>0</v>
      </c>
      <c r="K10" s="1441">
        <v>0</v>
      </c>
      <c r="L10" s="1434" t="e">
        <f t="shared" si="3"/>
        <v>#DIV/0!</v>
      </c>
      <c r="M10" s="1459"/>
      <c r="N10" s="1446">
        <v>0</v>
      </c>
      <c r="O10" s="1465" t="e">
        <f t="shared" si="6"/>
        <v>#DIV/0!</v>
      </c>
      <c r="P10" s="1447">
        <f t="shared" si="7"/>
        <v>0</v>
      </c>
      <c r="Q10" s="1433" t="e">
        <f t="shared" si="8"/>
        <v>#DIV/0!</v>
      </c>
    </row>
    <row r="11" spans="2:17" ht="15" customHeight="1" x14ac:dyDescent="0.25">
      <c r="B11" s="1452" t="s">
        <v>54</v>
      </c>
      <c r="C11" s="1456">
        <v>0</v>
      </c>
      <c r="D11" s="1436" t="e">
        <f t="shared" si="0"/>
        <v>#DIV/0!</v>
      </c>
      <c r="E11" s="1461">
        <f t="shared" si="4"/>
        <v>0</v>
      </c>
      <c r="F11" s="1441">
        <v>0</v>
      </c>
      <c r="G11" s="1434" t="e">
        <f t="shared" si="1"/>
        <v>#DIV/0!</v>
      </c>
      <c r="H11" s="1456">
        <v>0</v>
      </c>
      <c r="I11" s="1436" t="e">
        <f t="shared" si="2"/>
        <v>#DIV/0!</v>
      </c>
      <c r="J11" s="1463">
        <f t="shared" si="5"/>
        <v>0</v>
      </c>
      <c r="K11" s="1441">
        <v>0</v>
      </c>
      <c r="L11" s="1434" t="e">
        <f t="shared" si="3"/>
        <v>#DIV/0!</v>
      </c>
      <c r="M11" s="1459"/>
      <c r="N11" s="1446">
        <v>0</v>
      </c>
      <c r="O11" s="1465" t="e">
        <f t="shared" si="6"/>
        <v>#DIV/0!</v>
      </c>
      <c r="P11" s="1447">
        <f t="shared" si="7"/>
        <v>0</v>
      </c>
      <c r="Q11" s="1433" t="e">
        <f t="shared" si="8"/>
        <v>#DIV/0!</v>
      </c>
    </row>
    <row r="12" spans="2:17" ht="15" customHeight="1" x14ac:dyDescent="0.25">
      <c r="B12" s="1452" t="s">
        <v>55</v>
      </c>
      <c r="C12" s="1456">
        <v>0</v>
      </c>
      <c r="D12" s="1436" t="e">
        <f t="shared" si="0"/>
        <v>#DIV/0!</v>
      </c>
      <c r="E12" s="1461">
        <f t="shared" si="4"/>
        <v>0</v>
      </c>
      <c r="F12" s="1441">
        <v>0</v>
      </c>
      <c r="G12" s="1434" t="e">
        <f t="shared" si="1"/>
        <v>#DIV/0!</v>
      </c>
      <c r="H12" s="1456">
        <v>0</v>
      </c>
      <c r="I12" s="1436" t="e">
        <f t="shared" si="2"/>
        <v>#DIV/0!</v>
      </c>
      <c r="J12" s="1463">
        <f t="shared" si="5"/>
        <v>0</v>
      </c>
      <c r="K12" s="1441">
        <v>0</v>
      </c>
      <c r="L12" s="1434" t="e">
        <f t="shared" si="3"/>
        <v>#DIV/0!</v>
      </c>
      <c r="M12" s="1459"/>
      <c r="N12" s="1446">
        <v>0</v>
      </c>
      <c r="O12" s="1465" t="e">
        <f t="shared" si="6"/>
        <v>#DIV/0!</v>
      </c>
      <c r="P12" s="1447">
        <f t="shared" si="7"/>
        <v>0</v>
      </c>
      <c r="Q12" s="1433" t="e">
        <f t="shared" si="8"/>
        <v>#DIV/0!</v>
      </c>
    </row>
    <row r="13" spans="2:17" s="1435" customFormat="1" ht="15" customHeight="1" x14ac:dyDescent="0.25">
      <c r="B13" s="1666" t="s">
        <v>52</v>
      </c>
      <c r="C13" s="1667">
        <v>0</v>
      </c>
      <c r="D13" s="1668" t="e">
        <f>C13/C15</f>
        <v>#DIV/0!</v>
      </c>
      <c r="E13" s="1669">
        <f t="shared" si="4"/>
        <v>0</v>
      </c>
      <c r="F13" s="1670">
        <v>0</v>
      </c>
      <c r="G13" s="1671" t="e">
        <f t="shared" si="1"/>
        <v>#DIV/0!</v>
      </c>
      <c r="H13" s="1667">
        <v>0</v>
      </c>
      <c r="I13" s="1668" t="e">
        <f t="shared" si="2"/>
        <v>#DIV/0!</v>
      </c>
      <c r="J13" s="1672">
        <f>K13-H13</f>
        <v>0</v>
      </c>
      <c r="K13" s="1670">
        <v>0</v>
      </c>
      <c r="L13" s="1671" t="e">
        <f t="shared" si="3"/>
        <v>#DIV/0!</v>
      </c>
      <c r="M13" s="1673"/>
      <c r="N13" s="1674">
        <v>0</v>
      </c>
      <c r="O13" s="1675" t="e">
        <f t="shared" si="6"/>
        <v>#DIV/0!</v>
      </c>
      <c r="P13" s="1676">
        <f t="shared" si="7"/>
        <v>0</v>
      </c>
      <c r="Q13" s="1677" t="e">
        <f t="shared" si="8"/>
        <v>#DIV/0!</v>
      </c>
    </row>
    <row r="14" spans="2:17" ht="15" customHeight="1" x14ac:dyDescent="0.25">
      <c r="B14" s="1454" t="s">
        <v>56</v>
      </c>
      <c r="C14" s="1457">
        <v>0</v>
      </c>
      <c r="D14" s="1437" t="e">
        <f>C14/$C$15</f>
        <v>#DIV/0!</v>
      </c>
      <c r="E14" s="1462">
        <f t="shared" si="4"/>
        <v>0</v>
      </c>
      <c r="F14" s="1442">
        <v>0</v>
      </c>
      <c r="G14" s="1438" t="e">
        <f t="shared" si="1"/>
        <v>#DIV/0!</v>
      </c>
      <c r="H14" s="1457">
        <v>0</v>
      </c>
      <c r="I14" s="1437" t="e">
        <f t="shared" si="2"/>
        <v>#DIV/0!</v>
      </c>
      <c r="J14" s="1464">
        <f>K14-H14</f>
        <v>0</v>
      </c>
      <c r="K14" s="1442">
        <v>0</v>
      </c>
      <c r="L14" s="1438" t="e">
        <f t="shared" si="3"/>
        <v>#DIV/0!</v>
      </c>
      <c r="M14" s="1460"/>
      <c r="N14" s="1444">
        <v>0</v>
      </c>
      <c r="O14" s="1465" t="e">
        <f t="shared" si="6"/>
        <v>#DIV/0!</v>
      </c>
      <c r="P14" s="1447">
        <f t="shared" si="7"/>
        <v>0</v>
      </c>
      <c r="Q14" s="1433" t="e">
        <f t="shared" si="8"/>
        <v>#DIV/0!</v>
      </c>
    </row>
    <row r="15" spans="2:17" ht="15" customHeight="1" thickBot="1" x14ac:dyDescent="0.3">
      <c r="B15" s="1659" t="s">
        <v>57</v>
      </c>
      <c r="C15" s="1660">
        <f t="shared" ref="C15:L15" si="9">SUM(C3:C14)</f>
        <v>0</v>
      </c>
      <c r="D15" s="1661" t="e">
        <f t="shared" si="9"/>
        <v>#DIV/0!</v>
      </c>
      <c r="E15" s="1662">
        <f t="shared" si="9"/>
        <v>0</v>
      </c>
      <c r="F15" s="1662">
        <f t="shared" si="9"/>
        <v>0</v>
      </c>
      <c r="G15" s="1663" t="e">
        <f t="shared" si="9"/>
        <v>#DIV/0!</v>
      </c>
      <c r="H15" s="1660">
        <f t="shared" si="9"/>
        <v>0</v>
      </c>
      <c r="I15" s="1661" t="e">
        <f t="shared" si="9"/>
        <v>#DIV/0!</v>
      </c>
      <c r="J15" s="1664">
        <f t="shared" si="9"/>
        <v>0</v>
      </c>
      <c r="K15" s="1662">
        <f t="shared" si="9"/>
        <v>0</v>
      </c>
      <c r="L15" s="1663" t="e">
        <f t="shared" si="9"/>
        <v>#DIV/0!</v>
      </c>
      <c r="M15" s="1665"/>
      <c r="N15" s="1664">
        <f>SUM(N3:N14)</f>
        <v>0</v>
      </c>
      <c r="O15" s="1661" t="e">
        <f>SUM(O3:O14)</f>
        <v>#DIV/0!</v>
      </c>
      <c r="P15" s="1662">
        <f>SUM(P3:P14)</f>
        <v>0</v>
      </c>
      <c r="Q15" s="1663" t="e">
        <f>SUM(Q3:Q14)</f>
        <v>#DIV/0!</v>
      </c>
    </row>
  </sheetData>
  <sheetProtection formatCells="0" formatColumns="0" formatRows="0" insertColumns="0" insertRows="0"/>
  <pageMargins left="0.7" right="0.7" top="0.75" bottom="0.75" header="0.3" footer="0.3"/>
  <pageSetup orientation="landscape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A9F1-BE82-43E2-A4D7-5FDAFCF94460}">
  <sheetPr>
    <pageSetUpPr fitToPage="1"/>
  </sheetPr>
  <dimension ref="B1:U29"/>
  <sheetViews>
    <sheetView showGridLines="0" zoomScaleNormal="100" workbookViewId="0"/>
  </sheetViews>
  <sheetFormatPr defaultColWidth="8.85546875" defaultRowHeight="12" x14ac:dyDescent="0.2"/>
  <cols>
    <col min="1" max="1" width="1.7109375" style="7" customWidth="1"/>
    <col min="2" max="2" width="11" style="7" bestFit="1" customWidth="1"/>
    <col min="3" max="4" width="5.7109375" style="7" customWidth="1"/>
    <col min="5" max="18" width="5.28515625" style="7" customWidth="1"/>
    <col min="19" max="19" width="0.7109375" style="7" customWidth="1"/>
    <col min="20" max="20" width="1.28515625" style="7" customWidth="1"/>
    <col min="21" max="16384" width="8.85546875" style="7"/>
  </cols>
  <sheetData>
    <row r="1" spans="2:21" ht="9.9499999999999993" customHeight="1" thickBot="1" x14ac:dyDescent="0.25"/>
    <row r="2" spans="2:21" s="318" customFormat="1" ht="11.25" customHeight="1" thickBot="1" x14ac:dyDescent="0.3">
      <c r="B2" s="2211" t="s">
        <v>475</v>
      </c>
      <c r="C2" s="2212"/>
      <c r="D2" s="2212"/>
      <c r="E2" s="2212"/>
      <c r="F2" s="2212"/>
      <c r="G2" s="2212"/>
      <c r="H2" s="2212"/>
      <c r="I2" s="2212"/>
      <c r="J2" s="2212"/>
      <c r="K2" s="2212"/>
      <c r="L2" s="2212"/>
      <c r="M2" s="2212"/>
      <c r="N2" s="2212"/>
      <c r="O2" s="2212"/>
      <c r="P2" s="2212"/>
      <c r="Q2" s="2213"/>
      <c r="R2" s="2213"/>
      <c r="S2" s="2214"/>
    </row>
    <row r="3" spans="2:21" s="318" customFormat="1" ht="11.25" customHeight="1" x14ac:dyDescent="0.25">
      <c r="B3" s="319"/>
      <c r="C3" s="2215" t="s">
        <v>476</v>
      </c>
      <c r="D3" s="2215"/>
      <c r="E3" s="2215"/>
      <c r="F3" s="2215"/>
      <c r="G3" s="2215"/>
      <c r="H3" s="2215"/>
      <c r="I3" s="2215"/>
      <c r="J3" s="2215"/>
      <c r="K3" s="2215"/>
      <c r="L3" s="2215"/>
      <c r="M3" s="2215"/>
      <c r="N3" s="2215"/>
      <c r="O3" s="2215"/>
      <c r="P3" s="2215"/>
      <c r="Q3" s="2216" t="s">
        <v>477</v>
      </c>
      <c r="R3" s="2217"/>
      <c r="S3" s="320"/>
    </row>
    <row r="4" spans="2:21" s="323" customFormat="1" x14ac:dyDescent="0.25">
      <c r="B4" s="321"/>
      <c r="C4" s="2218" t="s">
        <v>212</v>
      </c>
      <c r="D4" s="2219"/>
      <c r="E4" s="2220">
        <v>0.1</v>
      </c>
      <c r="F4" s="2220"/>
      <c r="G4" s="2220">
        <v>0.15</v>
      </c>
      <c r="H4" s="2220"/>
      <c r="I4" s="2220">
        <v>0.2</v>
      </c>
      <c r="J4" s="2220"/>
      <c r="K4" s="2220">
        <v>0.25</v>
      </c>
      <c r="L4" s="2220"/>
      <c r="M4" s="2220">
        <v>0.3</v>
      </c>
      <c r="N4" s="2220"/>
      <c r="O4" s="2220">
        <v>0.4</v>
      </c>
      <c r="P4" s="2220"/>
      <c r="Q4" s="2221">
        <v>0</v>
      </c>
      <c r="R4" s="2222"/>
      <c r="S4" s="322"/>
    </row>
    <row r="5" spans="2:21" s="323" customFormat="1" ht="11.25" customHeight="1" x14ac:dyDescent="0.25">
      <c r="B5" s="324" t="s">
        <v>478</v>
      </c>
      <c r="C5" s="2223">
        <v>0</v>
      </c>
      <c r="D5" s="2224"/>
      <c r="E5" s="2225">
        <f>+$C$5-(+$C$5*E4)</f>
        <v>0</v>
      </c>
      <c r="F5" s="2226"/>
      <c r="G5" s="2225">
        <f>+$C$5-(+$C$5*G4)</f>
        <v>0</v>
      </c>
      <c r="H5" s="2226"/>
      <c r="I5" s="2225">
        <f>+$C$5-(+$C$5*I4)</f>
        <v>0</v>
      </c>
      <c r="J5" s="2226"/>
      <c r="K5" s="2225">
        <f>+$C$5-(+$C$5*K4)</f>
        <v>0</v>
      </c>
      <c r="L5" s="2226"/>
      <c r="M5" s="2225">
        <f>+$C$5-(+$C$5*M4)</f>
        <v>0</v>
      </c>
      <c r="N5" s="2226"/>
      <c r="O5" s="2225">
        <f>+$C$5-(+$C$5*O4)</f>
        <v>0</v>
      </c>
      <c r="P5" s="2226"/>
      <c r="Q5" s="2227">
        <f>+$C$5-(+$C$5*Q4)</f>
        <v>0</v>
      </c>
      <c r="R5" s="2228"/>
      <c r="S5" s="325"/>
    </row>
    <row r="6" spans="2:21" s="318" customFormat="1" ht="11.25" customHeight="1" x14ac:dyDescent="0.25">
      <c r="B6" s="326" t="s">
        <v>479</v>
      </c>
      <c r="C6" s="2234">
        <v>0</v>
      </c>
      <c r="D6" s="2235"/>
      <c r="E6" s="2229">
        <f>IF(C5&gt;0,+$C$6/$C$5*E5,0)</f>
        <v>0</v>
      </c>
      <c r="F6" s="2233"/>
      <c r="G6" s="2229">
        <f>IF(E5&gt;0,+$C$6/$C$5*G5,0)</f>
        <v>0</v>
      </c>
      <c r="H6" s="2233"/>
      <c r="I6" s="2229">
        <f>IF(G5&gt;0,+$C$6/$C$5*I5,0)</f>
        <v>0</v>
      </c>
      <c r="J6" s="2233"/>
      <c r="K6" s="2229">
        <f>IF(I5&gt;0,+$C$6/$C$5*K5,0)</f>
        <v>0</v>
      </c>
      <c r="L6" s="2233"/>
      <c r="M6" s="2229">
        <f>IF(K5&gt;0,+$C$6/$C$5*M5,0)</f>
        <v>0</v>
      </c>
      <c r="N6" s="2233"/>
      <c r="O6" s="2229">
        <f>IF(M5&gt;0,+$C$6/$C$5*O5,0)</f>
        <v>0</v>
      </c>
      <c r="P6" s="2230"/>
      <c r="Q6" s="2231">
        <f>IF(O5&gt;0,+$C$6/$C$5*Q5,0)</f>
        <v>0</v>
      </c>
      <c r="R6" s="2232"/>
      <c r="S6" s="327"/>
    </row>
    <row r="7" spans="2:21" s="318" customFormat="1" ht="11.25" customHeight="1" x14ac:dyDescent="0.25">
      <c r="B7" s="326" t="s">
        <v>480</v>
      </c>
      <c r="C7" s="2234">
        <v>0</v>
      </c>
      <c r="D7" s="2235"/>
      <c r="E7" s="2229">
        <f>IF(E5&gt;0,+$C$15*E5,0)</f>
        <v>0</v>
      </c>
      <c r="F7" s="2233"/>
      <c r="G7" s="2229">
        <f>IF(G5&gt;0,+$C$15*G5,0)</f>
        <v>0</v>
      </c>
      <c r="H7" s="2233"/>
      <c r="I7" s="2229">
        <f>IF(I5&gt;0,+$C$15*I5,0)</f>
        <v>0</v>
      </c>
      <c r="J7" s="2233"/>
      <c r="K7" s="2229">
        <f>IF(K5&gt;0,+$C$15*K5,0)</f>
        <v>0</v>
      </c>
      <c r="L7" s="2233"/>
      <c r="M7" s="2229">
        <f>IF(M5&gt;0,+$C$15*M5,0)</f>
        <v>0</v>
      </c>
      <c r="N7" s="2233"/>
      <c r="O7" s="2229">
        <f>IF(O5&gt;0,+$C$15*O5,0)</f>
        <v>0</v>
      </c>
      <c r="P7" s="2230"/>
      <c r="Q7" s="2231">
        <f>IF(Q5&gt;0,+$C$15*Q5,0)</f>
        <v>0</v>
      </c>
      <c r="R7" s="2232"/>
      <c r="S7" s="327"/>
    </row>
    <row r="8" spans="2:21" s="318" customFormat="1" ht="11.25" customHeight="1" x14ac:dyDescent="0.25">
      <c r="B8" s="326" t="s">
        <v>481</v>
      </c>
      <c r="C8" s="2240" t="str">
        <f>IF(C6&gt;0,+C7/C6,"")</f>
        <v/>
      </c>
      <c r="D8" s="2241"/>
      <c r="E8" s="2236" t="str">
        <f>IF(E6&gt;0,+E7/E6,"")</f>
        <v/>
      </c>
      <c r="F8" s="2242"/>
      <c r="G8" s="2236" t="str">
        <f>IF(G6&gt;0,+G7/G6,"")</f>
        <v/>
      </c>
      <c r="H8" s="2242"/>
      <c r="I8" s="2236" t="str">
        <f>IF(I6&gt;0,+I7/I6,"")</f>
        <v/>
      </c>
      <c r="J8" s="2242"/>
      <c r="K8" s="2236" t="str">
        <f>IF(K6&gt;0,+K7/K6,"")</f>
        <v/>
      </c>
      <c r="L8" s="2242"/>
      <c r="M8" s="2236" t="str">
        <f>IF(M6&gt;0,+M7/M6,"")</f>
        <v/>
      </c>
      <c r="N8" s="2242"/>
      <c r="O8" s="2236" t="str">
        <f>IF(O6&gt;0,+O7/O6,"")</f>
        <v/>
      </c>
      <c r="P8" s="2237"/>
      <c r="Q8" s="2238" t="str">
        <f>IF(Q6&gt;0,+Q7/Q6,"")</f>
        <v/>
      </c>
      <c r="R8" s="2239"/>
      <c r="S8" s="327"/>
    </row>
    <row r="9" spans="2:21" s="318" customFormat="1" ht="11.25" customHeight="1" x14ac:dyDescent="0.25">
      <c r="B9" s="326" t="s">
        <v>482</v>
      </c>
      <c r="C9" s="2234">
        <v>0</v>
      </c>
      <c r="D9" s="2235"/>
      <c r="E9" s="2229">
        <f>IF($C$17&gt;0,+E7-$C$17,0)</f>
        <v>0</v>
      </c>
      <c r="F9" s="2233"/>
      <c r="G9" s="2229">
        <f>IF($C$17&gt;0,+G7-$C$17,0)</f>
        <v>0</v>
      </c>
      <c r="H9" s="2233"/>
      <c r="I9" s="2229">
        <f>IF($C$17&gt;0,+I7-$C$17,0)</f>
        <v>0</v>
      </c>
      <c r="J9" s="2233"/>
      <c r="K9" s="2229">
        <f>IF($C$17&gt;0,+K7-$C$17,0)</f>
        <v>0</v>
      </c>
      <c r="L9" s="2233"/>
      <c r="M9" s="2229">
        <f>IF($C$17&gt;0,+M7-$C$17,0)</f>
        <v>0</v>
      </c>
      <c r="N9" s="2233"/>
      <c r="O9" s="2229">
        <f>IF($C$17&gt;0,+O7-$C$17,0)</f>
        <v>0</v>
      </c>
      <c r="P9" s="2230"/>
      <c r="Q9" s="2231">
        <f>IF($C$17&gt;0,+Q7-$C$17,0)</f>
        <v>0</v>
      </c>
      <c r="R9" s="2232"/>
      <c r="S9" s="327"/>
      <c r="U9" s="328" t="s">
        <v>483</v>
      </c>
    </row>
    <row r="10" spans="2:21" s="323" customFormat="1" ht="11.25" customHeight="1" thickBot="1" x14ac:dyDescent="0.3">
      <c r="B10" s="324" t="s">
        <v>484</v>
      </c>
      <c r="C10" s="2245">
        <f>IF(C6&gt;0,+C9/C6,0)</f>
        <v>0</v>
      </c>
      <c r="D10" s="2246"/>
      <c r="E10" s="2247">
        <f>IF(E6&gt;0,+E9/E6,0)</f>
        <v>0</v>
      </c>
      <c r="F10" s="2248"/>
      <c r="G10" s="2247">
        <f>IF(G6&gt;0,+G9/G6,0)</f>
        <v>0</v>
      </c>
      <c r="H10" s="2248"/>
      <c r="I10" s="2247">
        <f>IF(I6&gt;0,+I9/I6,0)</f>
        <v>0</v>
      </c>
      <c r="J10" s="2248"/>
      <c r="K10" s="2247">
        <f>IF(K6&gt;0,+K9/K6,0)</f>
        <v>0</v>
      </c>
      <c r="L10" s="2248"/>
      <c r="M10" s="2247">
        <f>IF(M6&gt;0,+M9/M6,0)</f>
        <v>0</v>
      </c>
      <c r="N10" s="2248"/>
      <c r="O10" s="2247">
        <f>IF(O6&gt;0,+O9/O6,0)</f>
        <v>0</v>
      </c>
      <c r="P10" s="2249"/>
      <c r="Q10" s="2250">
        <f>IF(Q6&gt;0,+Q9/Q6,0)</f>
        <v>0</v>
      </c>
      <c r="R10" s="2251"/>
      <c r="S10" s="325"/>
    </row>
    <row r="11" spans="2:21" ht="3" customHeight="1" thickBot="1" x14ac:dyDescent="0.25">
      <c r="B11" s="329"/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1"/>
    </row>
    <row r="12" spans="2:21" ht="3" customHeight="1" x14ac:dyDescent="0.2"/>
    <row r="13" spans="2:21" ht="11.25" customHeight="1" x14ac:dyDescent="0.2"/>
    <row r="14" spans="2:21" ht="11.25" customHeight="1" x14ac:dyDescent="0.2">
      <c r="B14" s="7" t="s">
        <v>485</v>
      </c>
      <c r="C14" s="2243" t="e">
        <f>+C6/C5</f>
        <v>#DIV/0!</v>
      </c>
      <c r="D14" s="2244"/>
    </row>
    <row r="15" spans="2:21" ht="11.25" customHeight="1" x14ac:dyDescent="0.2">
      <c r="B15" s="7" t="s">
        <v>486</v>
      </c>
      <c r="C15" s="2243" t="e">
        <f>+C7/C5</f>
        <v>#DIV/0!</v>
      </c>
      <c r="D15" s="2244"/>
    </row>
    <row r="16" spans="2:21" ht="11.25" customHeight="1" x14ac:dyDescent="0.2">
      <c r="B16" s="7" t="s">
        <v>487</v>
      </c>
      <c r="C16" s="2243" t="e">
        <f>+C9/C5</f>
        <v>#DIV/0!</v>
      </c>
      <c r="D16" s="2244"/>
    </row>
    <row r="17" spans="2:19" ht="11.25" customHeight="1" x14ac:dyDescent="0.2">
      <c r="B17" s="332" t="s">
        <v>488</v>
      </c>
      <c r="C17" s="2243">
        <f>+C7-C9</f>
        <v>0</v>
      </c>
      <c r="D17" s="2244"/>
    </row>
    <row r="18" spans="2:19" ht="11.25" customHeight="1" x14ac:dyDescent="0.2"/>
    <row r="19" spans="2:19" hidden="1" x14ac:dyDescent="0.2">
      <c r="B19" s="333"/>
      <c r="C19" s="2252" t="s">
        <v>489</v>
      </c>
      <c r="D19" s="2252"/>
      <c r="E19" s="2252"/>
      <c r="F19" s="2252"/>
      <c r="G19" s="2252"/>
      <c r="H19" s="2252"/>
      <c r="I19" s="2252"/>
      <c r="J19" s="2252"/>
      <c r="K19" s="2252"/>
      <c r="L19" s="2252"/>
      <c r="M19" s="2252"/>
      <c r="N19" s="2252"/>
      <c r="O19" s="2252"/>
      <c r="P19" s="2252"/>
      <c r="Q19" s="2252"/>
      <c r="R19" s="2252"/>
      <c r="S19" s="334"/>
    </row>
    <row r="20" spans="2:19" hidden="1" x14ac:dyDescent="0.2">
      <c r="B20" s="335"/>
      <c r="C20" s="2253" t="s">
        <v>212</v>
      </c>
      <c r="D20" s="2254"/>
      <c r="E20" s="2255">
        <v>0.05</v>
      </c>
      <c r="F20" s="2255"/>
      <c r="G20" s="2255">
        <f>+G4</f>
        <v>0.15</v>
      </c>
      <c r="H20" s="2255"/>
      <c r="I20" s="2255">
        <f>+I4</f>
        <v>0.2</v>
      </c>
      <c r="J20" s="2255"/>
      <c r="K20" s="2255">
        <f>+K4</f>
        <v>0.25</v>
      </c>
      <c r="L20" s="2255"/>
      <c r="M20" s="336"/>
      <c r="N20" s="336"/>
      <c r="O20" s="2255">
        <f>+O4</f>
        <v>0.4</v>
      </c>
      <c r="P20" s="2255"/>
      <c r="Q20" s="2255">
        <f>+Q4</f>
        <v>0</v>
      </c>
      <c r="R20" s="2256"/>
      <c r="S20" s="337"/>
    </row>
    <row r="21" spans="2:19" hidden="1" x14ac:dyDescent="0.2">
      <c r="B21" s="338" t="s">
        <v>479</v>
      </c>
      <c r="C21" s="2259">
        <v>10000000</v>
      </c>
      <c r="D21" s="2260"/>
      <c r="E21" s="2257">
        <f>+$C$21*(1-E20)</f>
        <v>9500000</v>
      </c>
      <c r="F21" s="2258"/>
      <c r="G21" s="2257">
        <f>+$C$21*(1-G20)</f>
        <v>8500000</v>
      </c>
      <c r="H21" s="2258"/>
      <c r="I21" s="2257">
        <f>+$C$21*(1-I20)</f>
        <v>8000000</v>
      </c>
      <c r="J21" s="2258"/>
      <c r="K21" s="2257">
        <f>+$C$21*(1-K20)</f>
        <v>7500000</v>
      </c>
      <c r="L21" s="2258"/>
      <c r="M21" s="339"/>
      <c r="N21" s="339"/>
      <c r="O21" s="2257">
        <f>+$C$21*(1-O20)</f>
        <v>6000000</v>
      </c>
      <c r="P21" s="2258"/>
      <c r="Q21" s="2257">
        <f>+$C$21*(1-Q20)</f>
        <v>10000000</v>
      </c>
      <c r="R21" s="2258"/>
      <c r="S21" s="337"/>
    </row>
    <row r="22" spans="2:19" hidden="1" x14ac:dyDescent="0.2">
      <c r="B22" s="338" t="s">
        <v>482</v>
      </c>
      <c r="C22" s="2259">
        <v>1200000</v>
      </c>
      <c r="D22" s="2260"/>
      <c r="E22" s="2257">
        <f>+E21-$C$28</f>
        <v>9500000</v>
      </c>
      <c r="F22" s="2258"/>
      <c r="G22" s="2257">
        <f>+G21-$C$28</f>
        <v>8500000</v>
      </c>
      <c r="H22" s="2258"/>
      <c r="I22" s="2257">
        <f>+I21-$C$28</f>
        <v>8000000</v>
      </c>
      <c r="J22" s="2258"/>
      <c r="K22" s="2257">
        <f>+K21-$C$28</f>
        <v>7500000</v>
      </c>
      <c r="L22" s="2258"/>
      <c r="M22" s="339"/>
      <c r="N22" s="339"/>
      <c r="O22" s="2257">
        <f>+O21-$C$28</f>
        <v>6000000</v>
      </c>
      <c r="P22" s="2258"/>
      <c r="Q22" s="2257">
        <f>+Q21-$C$28</f>
        <v>10000000</v>
      </c>
      <c r="R22" s="2258"/>
      <c r="S22" s="337"/>
    </row>
    <row r="23" spans="2:19" hidden="1" x14ac:dyDescent="0.2">
      <c r="B23" s="338" t="s">
        <v>484</v>
      </c>
      <c r="C23" s="2265">
        <f>+C22/C21</f>
        <v>0.12</v>
      </c>
      <c r="D23" s="2266"/>
      <c r="E23" s="2261">
        <f>+E22/E21</f>
        <v>1</v>
      </c>
      <c r="F23" s="2262"/>
      <c r="G23" s="2261">
        <f>+G22/G21</f>
        <v>1</v>
      </c>
      <c r="H23" s="2262"/>
      <c r="I23" s="2261">
        <f>+I22/I21</f>
        <v>1</v>
      </c>
      <c r="J23" s="2262"/>
      <c r="K23" s="2261">
        <f>+K22/K21</f>
        <v>1</v>
      </c>
      <c r="L23" s="2262"/>
      <c r="M23" s="340"/>
      <c r="N23" s="340"/>
      <c r="O23" s="2261">
        <f>+O22/O21</f>
        <v>1</v>
      </c>
      <c r="P23" s="2262"/>
      <c r="Q23" s="2261">
        <f>+Q22/Q21</f>
        <v>1</v>
      </c>
      <c r="R23" s="2262"/>
      <c r="S23" s="337"/>
    </row>
    <row r="24" spans="2:19" ht="3" hidden="1" customHeight="1" x14ac:dyDescent="0.2"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1"/>
    </row>
    <row r="25" spans="2:19" hidden="1" x14ac:dyDescent="0.2"/>
    <row r="26" spans="2:19" hidden="1" x14ac:dyDescent="0.2"/>
    <row r="27" spans="2:19" hidden="1" x14ac:dyDescent="0.2"/>
    <row r="28" spans="2:19" hidden="1" x14ac:dyDescent="0.2">
      <c r="B28" s="7" t="s">
        <v>490</v>
      </c>
      <c r="C28" s="2263">
        <f>+C6-C9</f>
        <v>0</v>
      </c>
      <c r="D28" s="2264"/>
      <c r="E28" s="7" t="s">
        <v>491</v>
      </c>
    </row>
    <row r="29" spans="2:19" hidden="1" x14ac:dyDescent="0.2"/>
  </sheetData>
  <sheetProtection formatCells="0" formatColumns="0" formatRows="0" insertColumns="0" insertRows="0"/>
  <mergeCells count="93">
    <mergeCell ref="Q23:R23"/>
    <mergeCell ref="C28:D28"/>
    <mergeCell ref="C23:D23"/>
    <mergeCell ref="E23:F23"/>
    <mergeCell ref="G23:H23"/>
    <mergeCell ref="I23:J23"/>
    <mergeCell ref="K23:L23"/>
    <mergeCell ref="O23:P23"/>
    <mergeCell ref="Q21:R21"/>
    <mergeCell ref="C22:D22"/>
    <mergeCell ref="E22:F22"/>
    <mergeCell ref="G22:H22"/>
    <mergeCell ref="I22:J22"/>
    <mergeCell ref="K22:L22"/>
    <mergeCell ref="O22:P22"/>
    <mergeCell ref="Q22:R22"/>
    <mergeCell ref="C21:D21"/>
    <mergeCell ref="E21:F21"/>
    <mergeCell ref="G21:H21"/>
    <mergeCell ref="I21:J21"/>
    <mergeCell ref="K21:L21"/>
    <mergeCell ref="O21:P21"/>
    <mergeCell ref="C19:R19"/>
    <mergeCell ref="C20:D20"/>
    <mergeCell ref="E20:F20"/>
    <mergeCell ref="G20:H20"/>
    <mergeCell ref="I20:J20"/>
    <mergeCell ref="K20:L20"/>
    <mergeCell ref="O20:P20"/>
    <mergeCell ref="Q20:R20"/>
    <mergeCell ref="O10:P10"/>
    <mergeCell ref="Q10:R10"/>
    <mergeCell ref="C14:D14"/>
    <mergeCell ref="C15:D15"/>
    <mergeCell ref="C16:D16"/>
    <mergeCell ref="K10:L10"/>
    <mergeCell ref="M10:N10"/>
    <mergeCell ref="C17:D17"/>
    <mergeCell ref="C10:D10"/>
    <mergeCell ref="E10:F10"/>
    <mergeCell ref="G10:H10"/>
    <mergeCell ref="I10:J10"/>
    <mergeCell ref="O8:P8"/>
    <mergeCell ref="Q8:R8"/>
    <mergeCell ref="C9:D9"/>
    <mergeCell ref="E9:F9"/>
    <mergeCell ref="G9:H9"/>
    <mergeCell ref="I9:J9"/>
    <mergeCell ref="K9:L9"/>
    <mergeCell ref="M9:N9"/>
    <mergeCell ref="O9:P9"/>
    <mergeCell ref="Q9:R9"/>
    <mergeCell ref="C8:D8"/>
    <mergeCell ref="E8:F8"/>
    <mergeCell ref="G8:H8"/>
    <mergeCell ref="I8:J8"/>
    <mergeCell ref="K8:L8"/>
    <mergeCell ref="M8:N8"/>
    <mergeCell ref="M7:N7"/>
    <mergeCell ref="O7:P7"/>
    <mergeCell ref="Q7:R7"/>
    <mergeCell ref="C6:D6"/>
    <mergeCell ref="E6:F6"/>
    <mergeCell ref="G6:H6"/>
    <mergeCell ref="I6:J6"/>
    <mergeCell ref="K6:L6"/>
    <mergeCell ref="M6:N6"/>
    <mergeCell ref="C7:D7"/>
    <mergeCell ref="E7:F7"/>
    <mergeCell ref="G7:H7"/>
    <mergeCell ref="I7:J7"/>
    <mergeCell ref="K7:L7"/>
    <mergeCell ref="M5:N5"/>
    <mergeCell ref="O5:P5"/>
    <mergeCell ref="Q5:R5"/>
    <mergeCell ref="O6:P6"/>
    <mergeCell ref="Q6:R6"/>
    <mergeCell ref="C5:D5"/>
    <mergeCell ref="E5:F5"/>
    <mergeCell ref="G5:H5"/>
    <mergeCell ref="I5:J5"/>
    <mergeCell ref="K5:L5"/>
    <mergeCell ref="B2:S2"/>
    <mergeCell ref="C3:P3"/>
    <mergeCell ref="Q3:R3"/>
    <mergeCell ref="C4:D4"/>
    <mergeCell ref="E4:F4"/>
    <mergeCell ref="G4:H4"/>
    <mergeCell ref="I4:J4"/>
    <mergeCell ref="K4:L4"/>
    <mergeCell ref="M4:N4"/>
    <mergeCell ref="O4:P4"/>
    <mergeCell ref="Q4:R4"/>
  </mergeCells>
  <pageMargins left="0.7" right="0.7" top="0.75" bottom="0.75" header="0.3" footer="0.3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9C34B-18C0-40FF-ACBB-2320128E11D1}">
  <sheetPr>
    <pageSetUpPr fitToPage="1"/>
  </sheetPr>
  <dimension ref="B1:G10"/>
  <sheetViews>
    <sheetView showGridLines="0" zoomScaleNormal="100" workbookViewId="0"/>
  </sheetViews>
  <sheetFormatPr defaultColWidth="8.85546875" defaultRowHeight="12.75" x14ac:dyDescent="0.2"/>
  <cols>
    <col min="1" max="1" width="1.7109375" style="11" customWidth="1"/>
    <col min="2" max="2" width="30.7109375" style="11" customWidth="1"/>
    <col min="3" max="3" width="14.7109375" style="11" customWidth="1"/>
    <col min="4" max="4" width="8.7109375" style="1634" customWidth="1"/>
    <col min="5" max="5" width="30.7109375" style="11" customWidth="1"/>
    <col min="6" max="6" width="14.7109375" style="11" customWidth="1"/>
    <col min="7" max="7" width="8.7109375" style="1634" customWidth="1"/>
    <col min="8" max="16384" width="8.85546875" style="11"/>
  </cols>
  <sheetData>
    <row r="1" spans="2:7" ht="9" customHeight="1" thickBot="1" x14ac:dyDescent="0.25"/>
    <row r="2" spans="2:7" ht="13.5" thickBot="1" x14ac:dyDescent="0.25">
      <c r="B2" s="482" t="s">
        <v>492</v>
      </c>
      <c r="C2" s="483"/>
      <c r="D2" s="1635"/>
      <c r="E2" s="482" t="s">
        <v>493</v>
      </c>
      <c r="F2" s="483"/>
      <c r="G2" s="1639"/>
    </row>
    <row r="3" spans="2:7" x14ac:dyDescent="0.2">
      <c r="B3" s="484" t="s">
        <v>494</v>
      </c>
      <c r="C3" s="455">
        <v>0</v>
      </c>
      <c r="D3" s="1636" t="e">
        <f>C3/$F$9</f>
        <v>#DIV/0!</v>
      </c>
      <c r="E3" s="484" t="s">
        <v>495</v>
      </c>
      <c r="F3" s="455">
        <v>0</v>
      </c>
      <c r="G3" s="1640" t="e">
        <f>F3/$F$9</f>
        <v>#DIV/0!</v>
      </c>
    </row>
    <row r="4" spans="2:7" x14ac:dyDescent="0.2">
      <c r="B4" s="484" t="str">
        <f>+E4</f>
        <v>Land Equity</v>
      </c>
      <c r="C4" s="455">
        <v>0</v>
      </c>
      <c r="D4" s="1636" t="e">
        <f>C4/$F$9</f>
        <v>#DIV/0!</v>
      </c>
      <c r="E4" s="484" t="s">
        <v>496</v>
      </c>
      <c r="F4" s="455">
        <v>0</v>
      </c>
      <c r="G4" s="1640" t="e">
        <f t="shared" ref="G4:G8" si="0">F4/$F$9</f>
        <v>#DIV/0!</v>
      </c>
    </row>
    <row r="5" spans="2:7" x14ac:dyDescent="0.2">
      <c r="B5" s="484" t="s">
        <v>497</v>
      </c>
      <c r="C5" s="455">
        <v>0</v>
      </c>
      <c r="D5" s="1636" t="e">
        <f>C5/$F$9</f>
        <v>#DIV/0!</v>
      </c>
      <c r="E5" s="484" t="s">
        <v>498</v>
      </c>
      <c r="F5" s="455">
        <v>0</v>
      </c>
      <c r="G5" s="1640" t="e">
        <f t="shared" si="0"/>
        <v>#DIV/0!</v>
      </c>
    </row>
    <row r="6" spans="2:7" x14ac:dyDescent="0.2">
      <c r="B6" s="484"/>
      <c r="C6" s="455">
        <v>0</v>
      </c>
      <c r="D6" s="1636" t="e">
        <f t="shared" ref="D6:D8" si="1">C6/$F$9</f>
        <v>#DIV/0!</v>
      </c>
      <c r="E6" s="484" t="s">
        <v>499</v>
      </c>
      <c r="F6" s="455">
        <v>0</v>
      </c>
      <c r="G6" s="1640" t="e">
        <f t="shared" si="0"/>
        <v>#DIV/0!</v>
      </c>
    </row>
    <row r="7" spans="2:7" x14ac:dyDescent="0.2">
      <c r="B7" s="484"/>
      <c r="C7" s="455">
        <v>0</v>
      </c>
      <c r="D7" s="1636" t="e">
        <f t="shared" si="1"/>
        <v>#DIV/0!</v>
      </c>
      <c r="E7" s="484" t="s">
        <v>500</v>
      </c>
      <c r="F7" s="455">
        <v>0</v>
      </c>
      <c r="G7" s="1640" t="e">
        <f t="shared" si="0"/>
        <v>#DIV/0!</v>
      </c>
    </row>
    <row r="8" spans="2:7" x14ac:dyDescent="0.2">
      <c r="B8" s="484"/>
      <c r="C8" s="455">
        <v>0</v>
      </c>
      <c r="D8" s="1636" t="e">
        <f t="shared" si="1"/>
        <v>#DIV/0!</v>
      </c>
      <c r="E8" s="484" t="s">
        <v>501</v>
      </c>
      <c r="F8" s="455">
        <v>0</v>
      </c>
      <c r="G8" s="1640" t="e">
        <f t="shared" si="0"/>
        <v>#DIV/0!</v>
      </c>
    </row>
    <row r="9" spans="2:7" s="347" customFormat="1" ht="13.5" thickBot="1" x14ac:dyDescent="0.25">
      <c r="B9" s="1632" t="s">
        <v>502</v>
      </c>
      <c r="C9" s="1633">
        <f>SUM(C3:C8)</f>
        <v>0</v>
      </c>
      <c r="D9" s="1637" t="e">
        <f>SUM(D3:D8)</f>
        <v>#DIV/0!</v>
      </c>
      <c r="E9" s="1632" t="s">
        <v>503</v>
      </c>
      <c r="F9" s="1633">
        <f>SUM(F3:F8)</f>
        <v>0</v>
      </c>
      <c r="G9" s="1641" t="e">
        <f>SUM(G3:G8)</f>
        <v>#DIV/0!</v>
      </c>
    </row>
    <row r="10" spans="2:7" ht="13.5" thickBot="1" x14ac:dyDescent="0.25">
      <c r="B10" s="485" t="s">
        <v>504</v>
      </c>
      <c r="C10" s="488" t="e">
        <f>+C3/F9</f>
        <v>#DIV/0!</v>
      </c>
      <c r="D10" s="1638"/>
      <c r="E10" s="1631"/>
      <c r="F10" s="486"/>
      <c r="G10" s="1642"/>
    </row>
  </sheetData>
  <sheetProtection formatCells="0" formatColumns="0" formatRows="0" insertColumns="0" insertRows="0"/>
  <pageMargins left="0.7" right="0.7" top="0.75" bottom="0.75" header="0.3" footer="0.3"/>
  <pageSetup orientation="landscape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94EE-3066-41B1-9F61-DDBED0B34C86}">
  <dimension ref="B1:L19"/>
  <sheetViews>
    <sheetView showGridLines="0" workbookViewId="0"/>
  </sheetViews>
  <sheetFormatPr defaultRowHeight="12.75" x14ac:dyDescent="0.25"/>
  <cols>
    <col min="1" max="1" width="1.7109375" style="1332" customWidth="1"/>
    <col min="2" max="2" width="3.42578125" style="1742" bestFit="1" customWidth="1"/>
    <col min="3" max="4" width="14.7109375" style="1473" customWidth="1"/>
    <col min="5" max="5" width="12.7109375" style="1743" customWidth="1"/>
    <col min="6" max="6" width="12.7109375" style="3" customWidth="1"/>
    <col min="7" max="7" width="2.7109375" style="1332" customWidth="1"/>
    <col min="8" max="8" width="3.42578125" style="1332" bestFit="1" customWidth="1"/>
    <col min="9" max="10" width="14.7109375" style="1332" customWidth="1"/>
    <col min="11" max="11" width="12.7109375" style="1332" customWidth="1"/>
    <col min="12" max="12" width="12.7109375" style="3" customWidth="1"/>
    <col min="13" max="16384" width="9.140625" style="1332"/>
  </cols>
  <sheetData>
    <row r="1" spans="2:12" ht="9.9499999999999993" customHeight="1" x14ac:dyDescent="0.25"/>
    <row r="2" spans="2:12" s="1746" customFormat="1" x14ac:dyDescent="0.25">
      <c r="B2" s="1759" t="s">
        <v>505</v>
      </c>
      <c r="C2" s="1744"/>
      <c r="D2" s="1744"/>
      <c r="E2" s="1745"/>
      <c r="F2" s="1466"/>
      <c r="H2" s="1746" t="s">
        <v>506</v>
      </c>
      <c r="L2" s="1466"/>
    </row>
    <row r="3" spans="2:12" ht="15" customHeight="1" x14ac:dyDescent="0.25">
      <c r="B3" s="1760"/>
      <c r="C3" s="1761" t="s">
        <v>507</v>
      </c>
      <c r="D3" s="1761" t="s">
        <v>508</v>
      </c>
      <c r="E3" s="1762" t="s">
        <v>509</v>
      </c>
      <c r="F3" s="1763" t="s">
        <v>510</v>
      </c>
      <c r="H3" s="1760"/>
      <c r="I3" s="1761" t="s">
        <v>507</v>
      </c>
      <c r="J3" s="1761" t="s">
        <v>508</v>
      </c>
      <c r="K3" s="1762" t="s">
        <v>509</v>
      </c>
      <c r="L3" s="1763" t="s">
        <v>510</v>
      </c>
    </row>
    <row r="4" spans="2:12" ht="15" customHeight="1" x14ac:dyDescent="0.25">
      <c r="B4" s="1747">
        <v>1</v>
      </c>
      <c r="C4" s="1748">
        <v>600000</v>
      </c>
      <c r="D4" s="1748">
        <f>C4</f>
        <v>600000</v>
      </c>
      <c r="E4" s="1749">
        <v>45199</v>
      </c>
      <c r="F4" s="1753" t="s">
        <v>511</v>
      </c>
      <c r="H4" s="1747">
        <v>1</v>
      </c>
      <c r="I4" s="1748">
        <v>600000</v>
      </c>
      <c r="J4" s="1748">
        <f>I4</f>
        <v>600000</v>
      </c>
      <c r="K4" s="1749">
        <v>45199</v>
      </c>
      <c r="L4" s="1753" t="s">
        <v>511</v>
      </c>
    </row>
    <row r="5" spans="2:12" ht="15" customHeight="1" x14ac:dyDescent="0.25">
      <c r="B5" s="1750">
        <v>2</v>
      </c>
      <c r="C5" s="1751">
        <v>700000</v>
      </c>
      <c r="D5" s="1751">
        <f>C5+D4</f>
        <v>1300000</v>
      </c>
      <c r="E5" s="1752">
        <v>45291</v>
      </c>
      <c r="F5" s="1754" t="s">
        <v>511</v>
      </c>
      <c r="H5" s="1750">
        <v>2</v>
      </c>
      <c r="I5" s="1751">
        <v>700000</v>
      </c>
      <c r="J5" s="1751">
        <f>I5+J4</f>
        <v>1300000</v>
      </c>
      <c r="K5" s="1752">
        <v>45291</v>
      </c>
      <c r="L5" s="1754" t="s">
        <v>511</v>
      </c>
    </row>
    <row r="6" spans="2:12" ht="15" customHeight="1" x14ac:dyDescent="0.25">
      <c r="B6" s="1750">
        <v>3</v>
      </c>
      <c r="C6" s="1751">
        <v>4500000</v>
      </c>
      <c r="D6" s="1751">
        <f t="shared" ref="D6:D13" si="0">C6+D5</f>
        <v>5800000</v>
      </c>
      <c r="E6" s="1752">
        <v>45382</v>
      </c>
      <c r="F6" s="1754" t="s">
        <v>511</v>
      </c>
      <c r="H6" s="1750">
        <v>3</v>
      </c>
      <c r="I6" s="1751">
        <v>4500000</v>
      </c>
      <c r="J6" s="1751">
        <f t="shared" ref="J6:J18" si="1">I6+J5</f>
        <v>5800000</v>
      </c>
      <c r="K6" s="1752">
        <v>45382</v>
      </c>
      <c r="L6" s="1754" t="s">
        <v>511</v>
      </c>
    </row>
    <row r="7" spans="2:12" ht="15" customHeight="1" x14ac:dyDescent="0.25">
      <c r="B7" s="1750">
        <v>4</v>
      </c>
      <c r="C7" s="1751">
        <v>1200000</v>
      </c>
      <c r="D7" s="1751">
        <f t="shared" si="0"/>
        <v>7000000</v>
      </c>
      <c r="E7" s="1752">
        <v>45473</v>
      </c>
      <c r="F7" s="1754" t="s">
        <v>511</v>
      </c>
      <c r="H7" s="1750">
        <v>4</v>
      </c>
      <c r="I7" s="1751">
        <v>1200000</v>
      </c>
      <c r="J7" s="1751">
        <f t="shared" si="1"/>
        <v>7000000</v>
      </c>
      <c r="K7" s="1752">
        <v>45473</v>
      </c>
      <c r="L7" s="1754" t="s">
        <v>511</v>
      </c>
    </row>
    <row r="8" spans="2:12" ht="15" customHeight="1" x14ac:dyDescent="0.25">
      <c r="B8" s="1750">
        <v>5</v>
      </c>
      <c r="C8" s="1751">
        <v>8000000</v>
      </c>
      <c r="D8" s="1751">
        <f t="shared" si="0"/>
        <v>15000000</v>
      </c>
      <c r="E8" s="1752">
        <v>45565</v>
      </c>
      <c r="F8" s="1754" t="s">
        <v>511</v>
      </c>
      <c r="H8" s="1750">
        <v>5</v>
      </c>
      <c r="I8" s="1751">
        <v>8000000</v>
      </c>
      <c r="J8" s="1751">
        <f t="shared" si="1"/>
        <v>15000000</v>
      </c>
      <c r="K8" s="1752">
        <v>45565</v>
      </c>
      <c r="L8" s="1754" t="s">
        <v>511</v>
      </c>
    </row>
    <row r="9" spans="2:12" ht="15" customHeight="1" x14ac:dyDescent="0.25">
      <c r="B9" s="1750">
        <v>6</v>
      </c>
      <c r="C9" s="1751">
        <v>2000000</v>
      </c>
      <c r="D9" s="1751">
        <f t="shared" si="0"/>
        <v>17000000</v>
      </c>
      <c r="E9" s="1752">
        <v>45657</v>
      </c>
      <c r="F9" s="1754" t="s">
        <v>511</v>
      </c>
      <c r="H9" s="1750">
        <v>6</v>
      </c>
      <c r="I9" s="1751">
        <v>2000000</v>
      </c>
      <c r="J9" s="1751">
        <f t="shared" si="1"/>
        <v>17000000</v>
      </c>
      <c r="K9" s="1752">
        <v>45657</v>
      </c>
      <c r="L9" s="1754" t="s">
        <v>511</v>
      </c>
    </row>
    <row r="10" spans="2:12" ht="15" customHeight="1" x14ac:dyDescent="0.25">
      <c r="B10" s="1750">
        <v>7</v>
      </c>
      <c r="C10" s="1751">
        <v>3000000</v>
      </c>
      <c r="D10" s="1751">
        <f t="shared" si="0"/>
        <v>20000000</v>
      </c>
      <c r="E10" s="1752">
        <v>45747</v>
      </c>
      <c r="F10" s="1754" t="s">
        <v>511</v>
      </c>
      <c r="H10" s="1750">
        <v>7</v>
      </c>
      <c r="I10" s="1751">
        <v>3000000</v>
      </c>
      <c r="J10" s="1751">
        <f t="shared" si="1"/>
        <v>20000000</v>
      </c>
      <c r="K10" s="1752">
        <v>45747</v>
      </c>
      <c r="L10" s="1754" t="s">
        <v>511</v>
      </c>
    </row>
    <row r="11" spans="2:12" ht="15" customHeight="1" x14ac:dyDescent="0.25">
      <c r="B11" s="1750">
        <v>8</v>
      </c>
      <c r="C11" s="1751">
        <v>2000000</v>
      </c>
      <c r="D11" s="1751">
        <f t="shared" si="0"/>
        <v>22000000</v>
      </c>
      <c r="E11" s="1752">
        <v>45838</v>
      </c>
      <c r="F11" s="1754" t="s">
        <v>511</v>
      </c>
      <c r="H11" s="1750">
        <v>8</v>
      </c>
      <c r="I11" s="1751">
        <v>2000000</v>
      </c>
      <c r="J11" s="1751">
        <f t="shared" si="1"/>
        <v>22000000</v>
      </c>
      <c r="K11" s="1752">
        <v>45838</v>
      </c>
      <c r="L11" s="1754" t="s">
        <v>511</v>
      </c>
    </row>
    <row r="12" spans="2:12" ht="15" customHeight="1" x14ac:dyDescent="0.25">
      <c r="B12" s="1750">
        <v>9</v>
      </c>
      <c r="C12" s="1751">
        <v>2000000</v>
      </c>
      <c r="D12" s="1751">
        <f t="shared" si="0"/>
        <v>24000000</v>
      </c>
      <c r="E12" s="1752">
        <v>45930</v>
      </c>
      <c r="F12" s="1754" t="s">
        <v>512</v>
      </c>
      <c r="H12" s="1750">
        <v>9</v>
      </c>
      <c r="I12" s="1751">
        <v>2000000</v>
      </c>
      <c r="J12" s="1751">
        <f t="shared" si="1"/>
        <v>24000000</v>
      </c>
      <c r="K12" s="1752">
        <v>45930</v>
      </c>
      <c r="L12" s="1754" t="s">
        <v>512</v>
      </c>
    </row>
    <row r="13" spans="2:12" ht="15" customHeight="1" x14ac:dyDescent="0.25">
      <c r="B13" s="1750">
        <v>10</v>
      </c>
      <c r="C13" s="1751">
        <v>4000000</v>
      </c>
      <c r="D13" s="1751">
        <f t="shared" si="0"/>
        <v>28000000</v>
      </c>
      <c r="E13" s="1752">
        <v>46022</v>
      </c>
      <c r="F13" s="1754" t="s">
        <v>512</v>
      </c>
      <c r="H13" s="1755">
        <v>10</v>
      </c>
      <c r="I13" s="1756">
        <v>2000000</v>
      </c>
      <c r="J13" s="1756">
        <f t="shared" si="1"/>
        <v>26000000</v>
      </c>
      <c r="K13" s="1757">
        <v>46022</v>
      </c>
      <c r="L13" s="1758" t="s">
        <v>512</v>
      </c>
    </row>
    <row r="14" spans="2:12" ht="15" customHeight="1" x14ac:dyDescent="0.25">
      <c r="B14" s="1750"/>
      <c r="C14" s="1751"/>
      <c r="D14" s="1751"/>
      <c r="E14" s="1752"/>
      <c r="F14" s="1754"/>
      <c r="H14" s="1755">
        <v>11</v>
      </c>
      <c r="I14" s="1756">
        <v>2000000</v>
      </c>
      <c r="J14" s="1756">
        <f t="shared" si="1"/>
        <v>28000000</v>
      </c>
      <c r="K14" s="1757">
        <v>46112</v>
      </c>
      <c r="L14" s="1758" t="s">
        <v>512</v>
      </c>
    </row>
    <row r="15" spans="2:12" ht="15" customHeight="1" x14ac:dyDescent="0.25">
      <c r="B15" s="1750"/>
      <c r="C15" s="1751"/>
      <c r="D15" s="1751"/>
      <c r="E15" s="1752"/>
      <c r="F15" s="1754"/>
      <c r="H15" s="1755">
        <v>12</v>
      </c>
      <c r="I15" s="1756">
        <v>2000000</v>
      </c>
      <c r="J15" s="1756">
        <f t="shared" si="1"/>
        <v>30000000</v>
      </c>
      <c r="K15" s="1757">
        <v>46203</v>
      </c>
      <c r="L15" s="1758" t="s">
        <v>512</v>
      </c>
    </row>
    <row r="16" spans="2:12" ht="15" customHeight="1" x14ac:dyDescent="0.25">
      <c r="B16" s="1750"/>
      <c r="C16" s="1751"/>
      <c r="D16" s="1751"/>
      <c r="E16" s="1752"/>
      <c r="F16" s="1754"/>
      <c r="H16" s="1755">
        <v>13</v>
      </c>
      <c r="I16" s="1756">
        <v>2000000</v>
      </c>
      <c r="J16" s="1756">
        <f t="shared" si="1"/>
        <v>32000000</v>
      </c>
      <c r="K16" s="1757">
        <v>46295</v>
      </c>
      <c r="L16" s="1758" t="s">
        <v>512</v>
      </c>
    </row>
    <row r="17" spans="2:12" ht="15" customHeight="1" x14ac:dyDescent="0.25">
      <c r="B17" s="1750"/>
      <c r="C17" s="1751"/>
      <c r="D17" s="1751"/>
      <c r="E17" s="1752"/>
      <c r="F17" s="1754"/>
      <c r="H17" s="1755">
        <v>14</v>
      </c>
      <c r="I17" s="1756">
        <v>2000000</v>
      </c>
      <c r="J17" s="1756">
        <f t="shared" si="1"/>
        <v>34000000</v>
      </c>
      <c r="K17" s="1757">
        <v>46387</v>
      </c>
      <c r="L17" s="1758" t="s">
        <v>512</v>
      </c>
    </row>
    <row r="18" spans="2:12" ht="15" customHeight="1" x14ac:dyDescent="0.25">
      <c r="B18" s="1750"/>
      <c r="C18" s="1751"/>
      <c r="D18" s="1751"/>
      <c r="E18" s="1752"/>
      <c r="F18" s="1754"/>
      <c r="H18" s="1755">
        <v>15</v>
      </c>
      <c r="I18" s="1756">
        <v>2000000</v>
      </c>
      <c r="J18" s="1756">
        <f t="shared" si="1"/>
        <v>36000000</v>
      </c>
      <c r="K18" s="1757">
        <v>46477</v>
      </c>
      <c r="L18" s="1758" t="s">
        <v>512</v>
      </c>
    </row>
    <row r="19" spans="2:12" ht="15" customHeight="1" x14ac:dyDescent="0.25">
      <c r="B19" s="2267" t="s">
        <v>513</v>
      </c>
      <c r="C19" s="2268"/>
      <c r="D19" s="2268"/>
      <c r="E19" s="2268"/>
      <c r="F19" s="2269"/>
      <c r="H19" s="2267" t="s">
        <v>513</v>
      </c>
      <c r="I19" s="2268"/>
      <c r="J19" s="2268"/>
      <c r="K19" s="2268"/>
      <c r="L19" s="2269"/>
    </row>
  </sheetData>
  <mergeCells count="2">
    <mergeCell ref="B19:F19"/>
    <mergeCell ref="H19:L1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6C89-6692-4C45-92DC-090A47C36A77}">
  <sheetPr>
    <pageSetUpPr fitToPage="1"/>
  </sheetPr>
  <dimension ref="B1:V25"/>
  <sheetViews>
    <sheetView showGridLines="0" zoomScaleNormal="100" workbookViewId="0"/>
  </sheetViews>
  <sheetFormatPr defaultColWidth="9.140625" defaultRowHeight="12" x14ac:dyDescent="0.2"/>
  <cols>
    <col min="1" max="1" width="1.7109375" style="106" customWidth="1"/>
    <col min="2" max="2" width="23.5703125" style="106" bestFit="1" customWidth="1"/>
    <col min="3" max="3" width="13.28515625" style="106" customWidth="1"/>
    <col min="4" max="4" width="12.42578125" style="107" customWidth="1"/>
    <col min="5" max="5" width="6" style="107" bestFit="1" customWidth="1"/>
    <col min="6" max="6" width="8" style="107" bestFit="1" customWidth="1"/>
    <col min="7" max="8" width="5.140625" style="107" bestFit="1" customWidth="1"/>
    <col min="9" max="9" width="4.7109375" style="107" customWidth="1"/>
    <col min="10" max="10" width="6.140625" style="107" bestFit="1" customWidth="1"/>
    <col min="11" max="11" width="6.140625" style="107" customWidth="1"/>
    <col min="12" max="16384" width="9.140625" style="106"/>
  </cols>
  <sheetData>
    <row r="1" spans="2:22" ht="9.9499999999999993" customHeight="1" thickBot="1" x14ac:dyDescent="0.25"/>
    <row r="2" spans="2:22" s="110" customFormat="1" x14ac:dyDescent="0.2">
      <c r="B2" s="369"/>
      <c r="C2" s="370"/>
      <c r="D2" s="371" t="s">
        <v>514</v>
      </c>
      <c r="E2" s="2270" t="s">
        <v>515</v>
      </c>
      <c r="F2" s="2270"/>
      <c r="G2" s="371" t="s">
        <v>516</v>
      </c>
      <c r="H2" s="371" t="s">
        <v>517</v>
      </c>
      <c r="I2" s="371"/>
      <c r="J2" s="371"/>
      <c r="K2" s="372"/>
    </row>
    <row r="3" spans="2:22" s="110" customFormat="1" x14ac:dyDescent="0.2">
      <c r="B3" s="373" t="s">
        <v>518</v>
      </c>
      <c r="C3" s="374" t="s">
        <v>519</v>
      </c>
      <c r="D3" s="375" t="s">
        <v>520</v>
      </c>
      <c r="E3" s="375" t="s">
        <v>521</v>
      </c>
      <c r="F3" s="375" t="s">
        <v>522</v>
      </c>
      <c r="G3" s="375" t="s">
        <v>523</v>
      </c>
      <c r="H3" s="375" t="s">
        <v>523</v>
      </c>
      <c r="I3" s="375" t="s">
        <v>524</v>
      </c>
      <c r="J3" s="375" t="s">
        <v>525</v>
      </c>
      <c r="K3" s="376" t="s">
        <v>240</v>
      </c>
    </row>
    <row r="4" spans="2:22" x14ac:dyDescent="0.2">
      <c r="B4" s="109" t="s">
        <v>526</v>
      </c>
      <c r="C4" s="106" t="s">
        <v>527</v>
      </c>
      <c r="D4" s="107" t="s">
        <v>528</v>
      </c>
      <c r="E4" s="107">
        <v>57</v>
      </c>
      <c r="F4" s="107">
        <v>31</v>
      </c>
      <c r="G4" s="107">
        <v>930</v>
      </c>
      <c r="H4" s="107">
        <f>4+2+36</f>
        <v>42</v>
      </c>
      <c r="I4" s="107">
        <v>164</v>
      </c>
      <c r="J4" s="107">
        <v>1397</v>
      </c>
      <c r="K4" s="388">
        <f t="shared" ref="K4:K17" si="0">+G4+H4+I4+J4</f>
        <v>2533</v>
      </c>
    </row>
    <row r="5" spans="2:22" s="365" customFormat="1" ht="11.25" x14ac:dyDescent="0.2">
      <c r="B5" s="378" t="s">
        <v>529</v>
      </c>
      <c r="C5" s="379"/>
      <c r="D5" s="380" t="s">
        <v>530</v>
      </c>
      <c r="E5" s="380">
        <v>36</v>
      </c>
      <c r="F5" s="380">
        <v>26</v>
      </c>
      <c r="G5" s="380">
        <v>29</v>
      </c>
      <c r="H5" s="380">
        <f>2+2+22</f>
        <v>26</v>
      </c>
      <c r="I5" s="380">
        <v>72</v>
      </c>
      <c r="J5" s="380">
        <v>0</v>
      </c>
      <c r="K5" s="389">
        <f t="shared" si="0"/>
        <v>127</v>
      </c>
    </row>
    <row r="6" spans="2:22" s="365" customFormat="1" ht="11.25" x14ac:dyDescent="0.2">
      <c r="B6" s="378" t="s">
        <v>531</v>
      </c>
      <c r="C6" s="379"/>
      <c r="D6" s="380" t="s">
        <v>532</v>
      </c>
      <c r="E6" s="380">
        <v>21</v>
      </c>
      <c r="F6" s="380">
        <v>5</v>
      </c>
      <c r="G6" s="380">
        <v>5</v>
      </c>
      <c r="H6" s="380">
        <f>2+0+14</f>
        <v>16</v>
      </c>
      <c r="I6" s="380">
        <v>29</v>
      </c>
      <c r="J6" s="380">
        <v>44</v>
      </c>
      <c r="K6" s="389">
        <f t="shared" si="0"/>
        <v>94</v>
      </c>
      <c r="M6" s="1513"/>
      <c r="N6" s="1514"/>
      <c r="O6" s="1515"/>
      <c r="P6" s="1515"/>
      <c r="Q6" s="1515"/>
      <c r="R6" s="1515"/>
      <c r="S6" s="1515"/>
      <c r="T6" s="1515"/>
      <c r="U6" s="1515"/>
      <c r="V6" s="1515"/>
    </row>
    <row r="7" spans="2:22" x14ac:dyDescent="0.2">
      <c r="B7" s="109" t="s">
        <v>533</v>
      </c>
      <c r="C7" s="106" t="s">
        <v>534</v>
      </c>
      <c r="D7" s="107" t="s">
        <v>535</v>
      </c>
      <c r="E7" s="107">
        <v>77</v>
      </c>
      <c r="F7" s="107">
        <v>94</v>
      </c>
      <c r="G7" s="107">
        <v>1786</v>
      </c>
      <c r="H7" s="107">
        <f>2+14+28</f>
        <v>44</v>
      </c>
      <c r="I7" s="107">
        <v>17</v>
      </c>
      <c r="J7" s="107">
        <v>35</v>
      </c>
      <c r="K7" s="388">
        <f t="shared" si="0"/>
        <v>1882</v>
      </c>
    </row>
    <row r="8" spans="2:22" x14ac:dyDescent="0.2">
      <c r="B8" s="378" t="s">
        <v>536</v>
      </c>
      <c r="C8" s="379"/>
      <c r="D8" s="380" t="s">
        <v>537</v>
      </c>
      <c r="E8" s="380">
        <v>0</v>
      </c>
      <c r="F8" s="380">
        <v>0</v>
      </c>
      <c r="G8" s="380">
        <v>0</v>
      </c>
      <c r="H8" s="380">
        <v>0</v>
      </c>
      <c r="I8" s="380">
        <v>0</v>
      </c>
      <c r="J8" s="380">
        <v>22</v>
      </c>
      <c r="K8" s="389">
        <f t="shared" si="0"/>
        <v>22</v>
      </c>
    </row>
    <row r="9" spans="2:22" s="365" customFormat="1" ht="11.25" x14ac:dyDescent="0.2">
      <c r="B9" s="378" t="s">
        <v>538</v>
      </c>
      <c r="C9" s="379"/>
      <c r="D9" s="380" t="s">
        <v>539</v>
      </c>
      <c r="E9" s="380">
        <v>9</v>
      </c>
      <c r="F9" s="380">
        <v>0</v>
      </c>
      <c r="G9" s="380">
        <v>0</v>
      </c>
      <c r="H9" s="380">
        <v>9</v>
      </c>
      <c r="I9" s="380">
        <v>0</v>
      </c>
      <c r="J9" s="380">
        <v>35</v>
      </c>
      <c r="K9" s="389">
        <f t="shared" si="0"/>
        <v>44</v>
      </c>
    </row>
    <row r="10" spans="2:22" x14ac:dyDescent="0.2">
      <c r="B10" s="109" t="s">
        <v>540</v>
      </c>
      <c r="C10" s="106" t="s">
        <v>541</v>
      </c>
      <c r="D10" s="107" t="s">
        <v>542</v>
      </c>
      <c r="E10" s="107">
        <v>0</v>
      </c>
      <c r="F10" s="107">
        <v>5</v>
      </c>
      <c r="G10" s="107">
        <v>642</v>
      </c>
      <c r="H10" s="107">
        <v>0</v>
      </c>
      <c r="I10" s="107">
        <v>0</v>
      </c>
      <c r="J10" s="107">
        <v>0</v>
      </c>
      <c r="K10" s="388">
        <f t="shared" si="0"/>
        <v>642</v>
      </c>
    </row>
    <row r="11" spans="2:22" s="365" customFormat="1" ht="11.25" x14ac:dyDescent="0.2">
      <c r="B11" s="378" t="s">
        <v>543</v>
      </c>
      <c r="C11" s="381"/>
      <c r="D11" s="380" t="s">
        <v>544</v>
      </c>
      <c r="E11" s="380">
        <v>12</v>
      </c>
      <c r="F11" s="380">
        <v>4</v>
      </c>
      <c r="G11" s="380">
        <v>13</v>
      </c>
      <c r="H11" s="380">
        <f>1+1+8</f>
        <v>10</v>
      </c>
      <c r="I11" s="380">
        <v>18</v>
      </c>
      <c r="J11" s="380">
        <v>23</v>
      </c>
      <c r="K11" s="389">
        <f t="shared" si="0"/>
        <v>64</v>
      </c>
    </row>
    <row r="12" spans="2:22" x14ac:dyDescent="0.2">
      <c r="B12" s="109" t="s">
        <v>545</v>
      </c>
      <c r="C12" s="106" t="s">
        <v>546</v>
      </c>
      <c r="D12" s="107" t="s">
        <v>547</v>
      </c>
      <c r="E12" s="107">
        <v>14</v>
      </c>
      <c r="F12" s="107">
        <v>6</v>
      </c>
      <c r="G12" s="107">
        <v>18</v>
      </c>
      <c r="H12" s="107">
        <f>1+9</f>
        <v>10</v>
      </c>
      <c r="I12" s="107">
        <v>8</v>
      </c>
      <c r="J12" s="107">
        <v>0</v>
      </c>
      <c r="K12" s="388">
        <f t="shared" si="0"/>
        <v>36</v>
      </c>
    </row>
    <row r="13" spans="2:22" s="365" customFormat="1" ht="11.25" x14ac:dyDescent="0.2">
      <c r="B13" s="378" t="s">
        <v>1</v>
      </c>
      <c r="C13" s="379"/>
      <c r="D13" s="380" t="s">
        <v>547</v>
      </c>
      <c r="E13" s="380">
        <v>14</v>
      </c>
      <c r="F13" s="380">
        <v>6</v>
      </c>
      <c r="G13" s="380">
        <v>18</v>
      </c>
      <c r="H13" s="380">
        <v>10</v>
      </c>
      <c r="I13" s="380">
        <v>8</v>
      </c>
      <c r="J13" s="380">
        <v>0</v>
      </c>
      <c r="K13" s="389">
        <f t="shared" si="0"/>
        <v>36</v>
      </c>
    </row>
    <row r="14" spans="2:22" x14ac:dyDescent="0.2">
      <c r="B14" s="109" t="s">
        <v>548</v>
      </c>
      <c r="C14" s="106" t="s">
        <v>549</v>
      </c>
      <c r="D14" s="107" t="s">
        <v>550</v>
      </c>
      <c r="E14" s="107">
        <v>4</v>
      </c>
      <c r="F14" s="107">
        <v>0</v>
      </c>
      <c r="G14" s="107">
        <v>0</v>
      </c>
      <c r="H14" s="107">
        <v>4</v>
      </c>
      <c r="I14" s="107">
        <v>13</v>
      </c>
      <c r="J14" s="107">
        <v>0</v>
      </c>
      <c r="K14" s="388">
        <f t="shared" si="0"/>
        <v>17</v>
      </c>
    </row>
    <row r="15" spans="2:22" s="365" customFormat="1" ht="11.25" x14ac:dyDescent="0.2">
      <c r="B15" s="378" t="s">
        <v>1</v>
      </c>
      <c r="C15" s="381"/>
      <c r="D15" s="380" t="s">
        <v>550</v>
      </c>
      <c r="E15" s="380">
        <v>4</v>
      </c>
      <c r="F15" s="380">
        <v>0</v>
      </c>
      <c r="G15" s="380">
        <v>0</v>
      </c>
      <c r="H15" s="380">
        <v>4</v>
      </c>
      <c r="I15" s="380">
        <v>13</v>
      </c>
      <c r="J15" s="380">
        <v>0</v>
      </c>
      <c r="K15" s="389">
        <f t="shared" si="0"/>
        <v>17</v>
      </c>
    </row>
    <row r="16" spans="2:22" s="365" customFormat="1" hidden="1" x14ac:dyDescent="0.2">
      <c r="B16" s="109"/>
      <c r="C16" s="106"/>
      <c r="D16" s="107"/>
      <c r="E16" s="107"/>
      <c r="F16" s="107"/>
      <c r="G16" s="107"/>
      <c r="H16" s="107"/>
      <c r="I16" s="107"/>
      <c r="J16" s="107"/>
      <c r="K16" s="388">
        <f t="shared" si="0"/>
        <v>0</v>
      </c>
    </row>
    <row r="17" spans="2:11" s="365" customFormat="1" ht="11.25" hidden="1" x14ac:dyDescent="0.2">
      <c r="B17" s="378"/>
      <c r="C17" s="379"/>
      <c r="D17" s="380"/>
      <c r="E17" s="380"/>
      <c r="F17" s="380"/>
      <c r="G17" s="380"/>
      <c r="H17" s="380"/>
      <c r="I17" s="380"/>
      <c r="J17" s="380"/>
      <c r="K17" s="389">
        <f t="shared" si="0"/>
        <v>0</v>
      </c>
    </row>
    <row r="18" spans="2:11" x14ac:dyDescent="0.2">
      <c r="B18" s="382" t="s">
        <v>240</v>
      </c>
      <c r="C18" s="383"/>
      <c r="D18" s="384"/>
      <c r="E18" s="392">
        <f t="shared" ref="E18:K18" si="1">+E4+E7+E10+E12+E14</f>
        <v>152</v>
      </c>
      <c r="F18" s="392">
        <f t="shared" si="1"/>
        <v>136</v>
      </c>
      <c r="G18" s="392">
        <f t="shared" si="1"/>
        <v>3376</v>
      </c>
      <c r="H18" s="392">
        <f t="shared" si="1"/>
        <v>100</v>
      </c>
      <c r="I18" s="392">
        <f t="shared" si="1"/>
        <v>202</v>
      </c>
      <c r="J18" s="392">
        <f t="shared" si="1"/>
        <v>1432</v>
      </c>
      <c r="K18" s="390">
        <f t="shared" si="1"/>
        <v>5110</v>
      </c>
    </row>
    <row r="19" spans="2:11" s="68" customFormat="1" ht="12.75" thickBot="1" x14ac:dyDescent="0.25">
      <c r="B19" s="385" t="s">
        <v>1</v>
      </c>
      <c r="C19" s="386"/>
      <c r="D19" s="387"/>
      <c r="E19" s="393">
        <f t="shared" ref="E19:K19" si="2">+E5+E6+E8+E9+E11+E13+E15</f>
        <v>96</v>
      </c>
      <c r="F19" s="393">
        <f t="shared" si="2"/>
        <v>41</v>
      </c>
      <c r="G19" s="393">
        <f t="shared" si="2"/>
        <v>65</v>
      </c>
      <c r="H19" s="393">
        <f t="shared" si="2"/>
        <v>75</v>
      </c>
      <c r="I19" s="393">
        <f t="shared" si="2"/>
        <v>140</v>
      </c>
      <c r="J19" s="393">
        <f t="shared" si="2"/>
        <v>124</v>
      </c>
      <c r="K19" s="391">
        <f t="shared" si="2"/>
        <v>404</v>
      </c>
    </row>
    <row r="24" spans="2:11" x14ac:dyDescent="0.2">
      <c r="K24" s="107">
        <f>+K18+K19</f>
        <v>5514</v>
      </c>
    </row>
    <row r="25" spans="2:11" x14ac:dyDescent="0.2">
      <c r="K25" s="107">
        <f>SUM(K4:K15)</f>
        <v>5514</v>
      </c>
    </row>
  </sheetData>
  <sheetProtection formatCells="0" formatColumns="0" formatRows="0" insertColumns="0" insertRows="0"/>
  <mergeCells count="1">
    <mergeCell ref="E2:F2"/>
  </mergeCells>
  <pageMargins left="0.25" right="0.25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21E2-EF36-4E1F-9216-D7155D55837A}">
  <sheetPr>
    <pageSetUpPr fitToPage="1"/>
  </sheetPr>
  <dimension ref="B1:AH74"/>
  <sheetViews>
    <sheetView showGridLines="0" zoomScaleNormal="100" workbookViewId="0"/>
  </sheetViews>
  <sheetFormatPr defaultColWidth="20.42578125" defaultRowHeight="11.25" x14ac:dyDescent="0.25"/>
  <cols>
    <col min="1" max="1" width="1.7109375" style="553" customWidth="1"/>
    <col min="2" max="2" width="29.7109375" style="553" customWidth="1"/>
    <col min="3" max="5" width="9.7109375" style="554" customWidth="1"/>
    <col min="6" max="10" width="9.7109375" style="554" hidden="1" customWidth="1"/>
    <col min="11" max="11" width="10.140625" style="554" bestFit="1" customWidth="1"/>
    <col min="12" max="12" width="7.7109375" style="554" bestFit="1" customWidth="1"/>
    <col min="13" max="13" width="2.7109375" style="553" customWidth="1"/>
    <col min="14" max="14" width="2" style="553" bestFit="1" customWidth="1"/>
    <col min="15" max="15" width="7.42578125" style="553" customWidth="1"/>
    <col min="16" max="16" width="19" style="553" bestFit="1" customWidth="1"/>
    <col min="17" max="18" width="3.7109375" style="553" customWidth="1"/>
    <col min="19" max="19" width="22" style="553" customWidth="1"/>
    <col min="20" max="20" width="9.140625" style="553" customWidth="1"/>
    <col min="21" max="21" width="6.85546875" style="553" bestFit="1" customWidth="1"/>
    <col min="22" max="26" width="7.7109375" style="553" customWidth="1"/>
    <col min="27" max="27" width="6.85546875" style="553" bestFit="1" customWidth="1"/>
    <col min="28" max="28" width="7.7109375" style="553" bestFit="1" customWidth="1"/>
    <col min="29" max="29" width="7.7109375" style="553" customWidth="1"/>
    <col min="30" max="31" width="7.7109375" style="553" bestFit="1" customWidth="1"/>
    <col min="32" max="32" width="7.7109375" style="553" customWidth="1"/>
    <col min="33" max="33" width="7.5703125" style="553" bestFit="1" customWidth="1"/>
    <col min="34" max="16384" width="20.42578125" style="553"/>
  </cols>
  <sheetData>
    <row r="1" spans="2:15" ht="9.9499999999999993" customHeight="1" thickBot="1" x14ac:dyDescent="0.3"/>
    <row r="2" spans="2:15" ht="12.75" customHeight="1" thickBot="1" x14ac:dyDescent="0.3">
      <c r="B2" s="2271" t="s">
        <v>551</v>
      </c>
      <c r="C2" s="2272"/>
      <c r="D2" s="2272"/>
      <c r="E2" s="2272"/>
      <c r="F2" s="2272"/>
      <c r="G2" s="2272"/>
      <c r="H2" s="2272"/>
      <c r="I2" s="2272"/>
      <c r="J2" s="2272"/>
      <c r="K2" s="2273"/>
    </row>
    <row r="3" spans="2:15" x14ac:dyDescent="0.25">
      <c r="B3" s="555" t="s">
        <v>109</v>
      </c>
      <c r="C3" s="556" t="s">
        <v>552</v>
      </c>
      <c r="D3" s="556"/>
      <c r="E3" s="556"/>
      <c r="F3" s="556"/>
      <c r="G3" s="556"/>
      <c r="H3" s="556"/>
      <c r="I3" s="557"/>
      <c r="J3" s="558"/>
      <c r="K3" s="559" t="s">
        <v>553</v>
      </c>
      <c r="L3" s="560"/>
      <c r="O3" s="553" t="s">
        <v>554</v>
      </c>
    </row>
    <row r="4" spans="2:15" s="566" customFormat="1" x14ac:dyDescent="0.25">
      <c r="B4" s="561" t="s">
        <v>523</v>
      </c>
      <c r="C4" s="562"/>
      <c r="D4" s="562"/>
      <c r="E4" s="562"/>
      <c r="F4" s="562"/>
      <c r="G4" s="562"/>
      <c r="H4" s="562"/>
      <c r="I4" s="563"/>
      <c r="J4" s="564"/>
      <c r="K4" s="663">
        <f>+C4+D4+E4+F4+G4+H4+I4</f>
        <v>0</v>
      </c>
      <c r="L4" s="565"/>
    </row>
    <row r="5" spans="2:15" x14ac:dyDescent="0.25">
      <c r="B5" s="567" t="s">
        <v>555</v>
      </c>
      <c r="C5" s="568">
        <v>2000</v>
      </c>
      <c r="D5" s="568"/>
      <c r="E5" s="568"/>
      <c r="F5" s="568"/>
      <c r="G5" s="568"/>
      <c r="H5" s="568"/>
      <c r="I5" s="568"/>
      <c r="J5" s="569"/>
      <c r="K5" s="664">
        <f>SUM(C5:J5)/N5</f>
        <v>2000</v>
      </c>
      <c r="L5" s="570"/>
      <c r="N5" s="662">
        <f>COUNT(C5:J5)</f>
        <v>1</v>
      </c>
    </row>
    <row r="6" spans="2:15" x14ac:dyDescent="0.25">
      <c r="B6" s="561" t="s">
        <v>556</v>
      </c>
      <c r="C6" s="571">
        <v>2</v>
      </c>
      <c r="D6" s="571"/>
      <c r="E6" s="571"/>
      <c r="F6" s="571"/>
      <c r="G6" s="571"/>
      <c r="H6" s="571"/>
      <c r="I6" s="571"/>
      <c r="J6" s="572"/>
      <c r="K6" s="573"/>
      <c r="L6" s="560"/>
    </row>
    <row r="7" spans="2:15" x14ac:dyDescent="0.25">
      <c r="B7" s="561" t="s">
        <v>557</v>
      </c>
      <c r="C7" s="571">
        <v>3</v>
      </c>
      <c r="D7" s="571"/>
      <c r="E7" s="571"/>
      <c r="F7" s="571"/>
      <c r="G7" s="571"/>
      <c r="H7" s="571"/>
      <c r="I7" s="571"/>
      <c r="J7" s="572"/>
      <c r="K7" s="574"/>
      <c r="L7" s="560"/>
    </row>
    <row r="8" spans="2:15" x14ac:dyDescent="0.25">
      <c r="B8" s="561" t="s">
        <v>558</v>
      </c>
      <c r="C8" s="571">
        <v>2</v>
      </c>
      <c r="D8" s="571"/>
      <c r="E8" s="571"/>
      <c r="F8" s="571"/>
      <c r="G8" s="571"/>
      <c r="H8" s="571"/>
      <c r="I8" s="571"/>
      <c r="J8" s="572"/>
      <c r="K8" s="574"/>
      <c r="L8" s="560"/>
    </row>
    <row r="9" spans="2:15" ht="12" thickBot="1" x14ac:dyDescent="0.3">
      <c r="B9" s="575" t="s">
        <v>559</v>
      </c>
      <c r="C9" s="576">
        <v>2</v>
      </c>
      <c r="D9" s="576"/>
      <c r="E9" s="576"/>
      <c r="F9" s="576"/>
      <c r="G9" s="576"/>
      <c r="H9" s="576"/>
      <c r="I9" s="576"/>
      <c r="J9" s="577"/>
      <c r="K9" s="578"/>
      <c r="L9" s="560"/>
    </row>
    <row r="10" spans="2:15" s="581" customFormat="1" ht="11.25" customHeight="1" thickBot="1" x14ac:dyDescent="0.3">
      <c r="B10" s="579" t="s">
        <v>560</v>
      </c>
      <c r="C10" s="675" t="str">
        <f t="shared" ref="C10:J10" si="0">IF(C3&gt;"",+C3,"")</f>
        <v>A</v>
      </c>
      <c r="D10" s="675" t="str">
        <f t="shared" si="0"/>
        <v/>
      </c>
      <c r="E10" s="675" t="str">
        <f t="shared" si="0"/>
        <v/>
      </c>
      <c r="F10" s="675" t="str">
        <f t="shared" si="0"/>
        <v/>
      </c>
      <c r="G10" s="675" t="str">
        <f t="shared" si="0"/>
        <v/>
      </c>
      <c r="H10" s="675" t="str">
        <f t="shared" si="0"/>
        <v/>
      </c>
      <c r="I10" s="675" t="str">
        <f t="shared" si="0"/>
        <v/>
      </c>
      <c r="J10" s="676" t="str">
        <f t="shared" si="0"/>
        <v/>
      </c>
      <c r="K10" s="677" t="str">
        <f>+K3</f>
        <v>Average</v>
      </c>
      <c r="L10" s="580" t="s">
        <v>38</v>
      </c>
    </row>
    <row r="11" spans="2:15" x14ac:dyDescent="0.25">
      <c r="B11" s="582" t="s">
        <v>561</v>
      </c>
      <c r="C11" s="583">
        <v>125000</v>
      </c>
      <c r="D11" s="583"/>
      <c r="E11" s="583"/>
      <c r="F11" s="583"/>
      <c r="G11" s="583"/>
      <c r="H11" s="583"/>
      <c r="I11" s="583"/>
      <c r="J11" s="583"/>
      <c r="K11" s="665">
        <f t="shared" ref="K11:K24" si="1">SUM(C11:J11)/N11</f>
        <v>125000</v>
      </c>
      <c r="L11" s="666">
        <f t="shared" ref="L11:L25" si="2">K11/$K$26</f>
        <v>0.31812686899535536</v>
      </c>
      <c r="M11" s="584"/>
      <c r="N11" s="662">
        <f t="shared" ref="N11:N24" si="3">COUNT(C11:J11)</f>
        <v>1</v>
      </c>
    </row>
    <row r="12" spans="2:15" x14ac:dyDescent="0.25">
      <c r="B12" s="585" t="s">
        <v>562</v>
      </c>
      <c r="C12" s="586">
        <v>0</v>
      </c>
      <c r="D12" s="586"/>
      <c r="E12" s="586"/>
      <c r="F12" s="586"/>
      <c r="G12" s="586"/>
      <c r="H12" s="586"/>
      <c r="I12" s="586"/>
      <c r="J12" s="586"/>
      <c r="K12" s="667">
        <f t="shared" si="1"/>
        <v>0</v>
      </c>
      <c r="L12" s="668">
        <f t="shared" si="2"/>
        <v>0</v>
      </c>
      <c r="M12" s="584"/>
      <c r="N12" s="662">
        <f t="shared" si="3"/>
        <v>1</v>
      </c>
    </row>
    <row r="13" spans="2:15" x14ac:dyDescent="0.25">
      <c r="B13" s="585" t="s">
        <v>563</v>
      </c>
      <c r="C13" s="586">
        <v>0</v>
      </c>
      <c r="D13" s="586"/>
      <c r="E13" s="586"/>
      <c r="F13" s="586"/>
      <c r="G13" s="586"/>
      <c r="H13" s="586"/>
      <c r="I13" s="586"/>
      <c r="J13" s="586"/>
      <c r="K13" s="667">
        <f t="shared" si="1"/>
        <v>0</v>
      </c>
      <c r="L13" s="668">
        <f t="shared" si="2"/>
        <v>0</v>
      </c>
      <c r="M13" s="584"/>
      <c r="N13" s="662">
        <f t="shared" si="3"/>
        <v>1</v>
      </c>
    </row>
    <row r="14" spans="2:15" x14ac:dyDescent="0.25">
      <c r="B14" s="585" t="s">
        <v>564</v>
      </c>
      <c r="C14" s="586">
        <v>3000</v>
      </c>
      <c r="D14" s="586"/>
      <c r="E14" s="586"/>
      <c r="F14" s="586"/>
      <c r="G14" s="586"/>
      <c r="H14" s="586"/>
      <c r="I14" s="586"/>
      <c r="J14" s="586"/>
      <c r="K14" s="667">
        <f t="shared" si="1"/>
        <v>3000</v>
      </c>
      <c r="L14" s="668">
        <f t="shared" si="2"/>
        <v>7.6350448558885281E-3</v>
      </c>
      <c r="M14" s="584"/>
      <c r="N14" s="662">
        <f t="shared" si="3"/>
        <v>1</v>
      </c>
    </row>
    <row r="15" spans="2:15" x14ac:dyDescent="0.25">
      <c r="B15" s="585" t="s">
        <v>565</v>
      </c>
      <c r="C15" s="586">
        <v>0</v>
      </c>
      <c r="D15" s="586"/>
      <c r="E15" s="586"/>
      <c r="F15" s="586"/>
      <c r="G15" s="586"/>
      <c r="H15" s="586"/>
      <c r="I15" s="586"/>
      <c r="J15" s="586"/>
      <c r="K15" s="667">
        <f t="shared" si="1"/>
        <v>0</v>
      </c>
      <c r="L15" s="668">
        <f t="shared" si="2"/>
        <v>0</v>
      </c>
      <c r="M15" s="584"/>
      <c r="N15" s="662">
        <f t="shared" si="3"/>
        <v>1</v>
      </c>
    </row>
    <row r="16" spans="2:15" x14ac:dyDescent="0.25">
      <c r="B16" s="585" t="s">
        <v>566</v>
      </c>
      <c r="C16" s="586">
        <v>6000</v>
      </c>
      <c r="D16" s="586"/>
      <c r="E16" s="586"/>
      <c r="F16" s="586"/>
      <c r="G16" s="586"/>
      <c r="H16" s="586"/>
      <c r="I16" s="586"/>
      <c r="J16" s="586"/>
      <c r="K16" s="667">
        <f t="shared" si="1"/>
        <v>6000</v>
      </c>
      <c r="L16" s="668">
        <f t="shared" si="2"/>
        <v>1.5270089711777056E-2</v>
      </c>
      <c r="M16" s="584"/>
      <c r="N16" s="662">
        <f t="shared" si="3"/>
        <v>1</v>
      </c>
    </row>
    <row r="17" spans="2:16" x14ac:dyDescent="0.25">
      <c r="B17" s="585" t="s">
        <v>567</v>
      </c>
      <c r="C17" s="586">
        <v>225000</v>
      </c>
      <c r="D17" s="586"/>
      <c r="E17" s="586"/>
      <c r="F17" s="586"/>
      <c r="G17" s="586"/>
      <c r="H17" s="586"/>
      <c r="I17" s="586"/>
      <c r="J17" s="586"/>
      <c r="K17" s="667">
        <f t="shared" si="1"/>
        <v>225000</v>
      </c>
      <c r="L17" s="668">
        <f t="shared" si="2"/>
        <v>0.57262836419163965</v>
      </c>
      <c r="M17" s="584"/>
      <c r="N17" s="662">
        <f t="shared" si="3"/>
        <v>1</v>
      </c>
    </row>
    <row r="18" spans="2:16" x14ac:dyDescent="0.25">
      <c r="B18" s="585" t="s">
        <v>568</v>
      </c>
      <c r="C18" s="586">
        <v>0</v>
      </c>
      <c r="D18" s="586"/>
      <c r="E18" s="586"/>
      <c r="F18" s="586"/>
      <c r="G18" s="586"/>
      <c r="H18" s="586"/>
      <c r="I18" s="586"/>
      <c r="J18" s="586"/>
      <c r="K18" s="667">
        <f t="shared" si="1"/>
        <v>0</v>
      </c>
      <c r="L18" s="668">
        <f t="shared" si="2"/>
        <v>0</v>
      </c>
      <c r="M18" s="584"/>
      <c r="N18" s="662">
        <f t="shared" si="3"/>
        <v>1</v>
      </c>
    </row>
    <row r="19" spans="2:16" x14ac:dyDescent="0.25">
      <c r="B19" s="585" t="s">
        <v>569</v>
      </c>
      <c r="C19" s="586">
        <v>1000</v>
      </c>
      <c r="D19" s="586"/>
      <c r="E19" s="586"/>
      <c r="F19" s="586"/>
      <c r="G19" s="586"/>
      <c r="H19" s="586"/>
      <c r="I19" s="586"/>
      <c r="J19" s="586"/>
      <c r="K19" s="667">
        <f t="shared" si="1"/>
        <v>1000</v>
      </c>
      <c r="L19" s="668">
        <f t="shared" si="2"/>
        <v>2.5450149519628427E-3</v>
      </c>
      <c r="M19" s="584"/>
      <c r="N19" s="662">
        <f t="shared" si="3"/>
        <v>1</v>
      </c>
    </row>
    <row r="20" spans="2:16" x14ac:dyDescent="0.25">
      <c r="B20" s="585" t="s">
        <v>570</v>
      </c>
      <c r="C20" s="586">
        <v>2000</v>
      </c>
      <c r="D20" s="586"/>
      <c r="E20" s="586"/>
      <c r="F20" s="586"/>
      <c r="G20" s="586"/>
      <c r="H20" s="586"/>
      <c r="I20" s="586"/>
      <c r="J20" s="586"/>
      <c r="K20" s="667">
        <f t="shared" si="1"/>
        <v>2000</v>
      </c>
      <c r="L20" s="668">
        <f t="shared" si="2"/>
        <v>5.0900299039256854E-3</v>
      </c>
      <c r="M20" s="584"/>
      <c r="N20" s="662">
        <f t="shared" si="3"/>
        <v>1</v>
      </c>
    </row>
    <row r="21" spans="2:16" x14ac:dyDescent="0.25">
      <c r="B21" s="585" t="s">
        <v>571</v>
      </c>
      <c r="C21" s="586">
        <v>2500</v>
      </c>
      <c r="D21" s="586"/>
      <c r="E21" s="586"/>
      <c r="F21" s="586"/>
      <c r="G21" s="586"/>
      <c r="H21" s="586"/>
      <c r="I21" s="586"/>
      <c r="J21" s="586"/>
      <c r="K21" s="667">
        <f t="shared" si="1"/>
        <v>2500</v>
      </c>
      <c r="L21" s="668">
        <f t="shared" si="2"/>
        <v>6.3625373799071072E-3</v>
      </c>
      <c r="M21" s="584"/>
      <c r="N21" s="662">
        <f t="shared" si="3"/>
        <v>1</v>
      </c>
    </row>
    <row r="22" spans="2:16" x14ac:dyDescent="0.25">
      <c r="B22" s="585" t="s">
        <v>572</v>
      </c>
      <c r="C22" s="586">
        <v>0</v>
      </c>
      <c r="D22" s="586"/>
      <c r="E22" s="586"/>
      <c r="F22" s="586"/>
      <c r="G22" s="586"/>
      <c r="H22" s="586"/>
      <c r="I22" s="586"/>
      <c r="J22" s="586"/>
      <c r="K22" s="667">
        <f t="shared" si="1"/>
        <v>0</v>
      </c>
      <c r="L22" s="668">
        <f t="shared" si="2"/>
        <v>0</v>
      </c>
      <c r="M22" s="584"/>
      <c r="N22" s="662">
        <f t="shared" si="3"/>
        <v>1</v>
      </c>
    </row>
    <row r="23" spans="2:16" x14ac:dyDescent="0.25">
      <c r="B23" s="585" t="s">
        <v>573</v>
      </c>
      <c r="C23" s="586">
        <v>3143</v>
      </c>
      <c r="D23" s="586"/>
      <c r="E23" s="586"/>
      <c r="F23" s="586"/>
      <c r="G23" s="586"/>
      <c r="H23" s="586"/>
      <c r="I23" s="586"/>
      <c r="J23" s="586"/>
      <c r="K23" s="667">
        <f t="shared" si="1"/>
        <v>3143</v>
      </c>
      <c r="L23" s="668">
        <f t="shared" si="2"/>
        <v>7.9989819940192147E-3</v>
      </c>
      <c r="M23" s="584"/>
      <c r="N23" s="662">
        <f t="shared" si="3"/>
        <v>1</v>
      </c>
    </row>
    <row r="24" spans="2:16" x14ac:dyDescent="0.25">
      <c r="B24" s="585" t="s">
        <v>501</v>
      </c>
      <c r="C24" s="586">
        <v>14032</v>
      </c>
      <c r="D24" s="586"/>
      <c r="E24" s="586"/>
      <c r="F24" s="586"/>
      <c r="G24" s="586"/>
      <c r="H24" s="586"/>
      <c r="I24" s="586"/>
      <c r="J24" s="586"/>
      <c r="K24" s="667">
        <f t="shared" si="1"/>
        <v>14032</v>
      </c>
      <c r="L24" s="668">
        <f t="shared" si="2"/>
        <v>3.5711649805942609E-2</v>
      </c>
      <c r="M24" s="584"/>
      <c r="N24" s="662">
        <f t="shared" si="3"/>
        <v>1</v>
      </c>
    </row>
    <row r="25" spans="2:16" ht="12" thickBot="1" x14ac:dyDescent="0.3">
      <c r="B25" s="587">
        <v>0.05</v>
      </c>
      <c r="C25" s="678">
        <f t="shared" ref="C25:J25" si="4">IF(C17&gt;0,+C17*$B$25,"")</f>
        <v>11250</v>
      </c>
      <c r="D25" s="678" t="str">
        <f t="shared" si="4"/>
        <v/>
      </c>
      <c r="E25" s="678" t="str">
        <f t="shared" si="4"/>
        <v/>
      </c>
      <c r="F25" s="588" t="str">
        <f t="shared" si="4"/>
        <v/>
      </c>
      <c r="G25" s="588" t="str">
        <f t="shared" si="4"/>
        <v/>
      </c>
      <c r="H25" s="588" t="str">
        <f t="shared" si="4"/>
        <v/>
      </c>
      <c r="I25" s="588" t="str">
        <f t="shared" si="4"/>
        <v/>
      </c>
      <c r="J25" s="588" t="str">
        <f t="shared" si="4"/>
        <v/>
      </c>
      <c r="K25" s="669">
        <f>SUM(C25:J25)/N25</f>
        <v>11250</v>
      </c>
      <c r="L25" s="670">
        <f t="shared" si="2"/>
        <v>2.8631418209581982E-2</v>
      </c>
      <c r="M25" s="584"/>
      <c r="N25" s="662">
        <f>COUNT(C25:J25)</f>
        <v>1</v>
      </c>
    </row>
    <row r="26" spans="2:16" s="592" customFormat="1" ht="12" thickBot="1" x14ac:dyDescent="0.3">
      <c r="B26" s="589" t="s">
        <v>574</v>
      </c>
      <c r="C26" s="679">
        <f t="shared" ref="C26:J26" si="5">IF(C3&gt;"",SUM(C11:C25),"")</f>
        <v>392925</v>
      </c>
      <c r="D26" s="679" t="str">
        <f t="shared" si="5"/>
        <v/>
      </c>
      <c r="E26" s="679" t="str">
        <f t="shared" si="5"/>
        <v/>
      </c>
      <c r="F26" s="590" t="str">
        <f t="shared" si="5"/>
        <v/>
      </c>
      <c r="G26" s="590" t="str">
        <f t="shared" si="5"/>
        <v/>
      </c>
      <c r="H26" s="590" t="str">
        <f t="shared" si="5"/>
        <v/>
      </c>
      <c r="I26" s="590" t="str">
        <f t="shared" si="5"/>
        <v/>
      </c>
      <c r="J26" s="590" t="str">
        <f t="shared" si="5"/>
        <v/>
      </c>
      <c r="K26" s="671">
        <f>SUM(K11:K25)</f>
        <v>392925</v>
      </c>
      <c r="L26" s="672">
        <f t="shared" ref="L26:L38" si="6">+K26/$K$5</f>
        <v>196.46250000000001</v>
      </c>
      <c r="M26" s="591"/>
      <c r="N26" s="662">
        <f>COUNT(C26:J26)</f>
        <v>1</v>
      </c>
    </row>
    <row r="27" spans="2:16" s="592" customFormat="1" ht="12" thickBot="1" x14ac:dyDescent="0.3">
      <c r="B27" s="589" t="s">
        <v>575</v>
      </c>
      <c r="C27" s="593">
        <v>450000</v>
      </c>
      <c r="D27" s="593"/>
      <c r="E27" s="593"/>
      <c r="F27" s="593"/>
      <c r="G27" s="593"/>
      <c r="H27" s="593"/>
      <c r="I27" s="593"/>
      <c r="J27" s="594"/>
      <c r="K27" s="673">
        <f t="shared" ref="K27:K37" si="7">SUM(C27:J27)/N27</f>
        <v>450000</v>
      </c>
      <c r="L27" s="674">
        <f t="shared" si="6"/>
        <v>225</v>
      </c>
      <c r="N27" s="662">
        <f t="shared" ref="N27:N38" si="8">COUNT(C27:J27)</f>
        <v>1</v>
      </c>
    </row>
    <row r="28" spans="2:16" s="592" customFormat="1" ht="12" thickBot="1" x14ac:dyDescent="0.3">
      <c r="B28" s="595" t="s">
        <v>576</v>
      </c>
      <c r="C28" s="680">
        <f t="shared" ref="C28:K28" si="9">IF(C27&gt;0,(C27-C26)/C27,"")</f>
        <v>0.12683333333333333</v>
      </c>
      <c r="D28" s="680" t="str">
        <f t="shared" si="9"/>
        <v/>
      </c>
      <c r="E28" s="680" t="str">
        <f t="shared" si="9"/>
        <v/>
      </c>
      <c r="F28" s="680" t="str">
        <f t="shared" si="9"/>
        <v/>
      </c>
      <c r="G28" s="680" t="str">
        <f t="shared" si="9"/>
        <v/>
      </c>
      <c r="H28" s="680" t="str">
        <f t="shared" si="9"/>
        <v/>
      </c>
      <c r="I28" s="680" t="str">
        <f t="shared" si="9"/>
        <v/>
      </c>
      <c r="J28" s="681" t="str">
        <f t="shared" si="9"/>
        <v/>
      </c>
      <c r="K28" s="682">
        <f t="shared" si="9"/>
        <v>0.12683333333333333</v>
      </c>
      <c r="L28" s="596"/>
    </row>
    <row r="29" spans="2:16" s="592" customFormat="1" x14ac:dyDescent="0.25">
      <c r="B29" s="597" t="s">
        <v>577</v>
      </c>
      <c r="C29" s="598">
        <v>5000</v>
      </c>
      <c r="D29" s="598"/>
      <c r="E29" s="598"/>
      <c r="F29" s="598"/>
      <c r="G29" s="598"/>
      <c r="H29" s="598"/>
      <c r="I29" s="598"/>
      <c r="J29" s="598"/>
      <c r="K29" s="683">
        <f>SUM(C29:J29)/N29</f>
        <v>5000</v>
      </c>
      <c r="L29" s="684">
        <f>+K29/$K$5</f>
        <v>2.5</v>
      </c>
      <c r="N29" s="662">
        <f>COUNT(C29:J29)</f>
        <v>1</v>
      </c>
    </row>
    <row r="30" spans="2:16" x14ac:dyDescent="0.25">
      <c r="B30" s="582" t="s">
        <v>578</v>
      </c>
      <c r="C30" s="583">
        <v>20000</v>
      </c>
      <c r="D30" s="583"/>
      <c r="E30" s="583"/>
      <c r="F30" s="583"/>
      <c r="G30" s="583"/>
      <c r="H30" s="583"/>
      <c r="I30" s="583"/>
      <c r="J30" s="583"/>
      <c r="K30" s="665">
        <f>SUM(C30:J30)/N30</f>
        <v>20000</v>
      </c>
      <c r="L30" s="685">
        <f>+K30/$K$5</f>
        <v>10</v>
      </c>
      <c r="M30" s="584"/>
      <c r="N30" s="662">
        <f>COUNT(C30:J30)</f>
        <v>1</v>
      </c>
      <c r="O30" s="698">
        <f>+$K$30/$K$27</f>
        <v>4.4444444444444446E-2</v>
      </c>
      <c r="P30" s="599" t="s">
        <v>579</v>
      </c>
    </row>
    <row r="31" spans="2:16" x14ac:dyDescent="0.25">
      <c r="B31" s="585" t="s">
        <v>580</v>
      </c>
      <c r="C31" s="586">
        <v>15000</v>
      </c>
      <c r="D31" s="586"/>
      <c r="E31" s="586"/>
      <c r="F31" s="586"/>
      <c r="G31" s="586"/>
      <c r="H31" s="586"/>
      <c r="I31" s="586"/>
      <c r="J31" s="586"/>
      <c r="K31" s="667">
        <f>SUM(C31:J31)/N31</f>
        <v>15000</v>
      </c>
      <c r="L31" s="686">
        <f>+K31/$K$5</f>
        <v>7.5</v>
      </c>
      <c r="M31" s="584"/>
      <c r="N31" s="662">
        <f>COUNT(C31:J31)</f>
        <v>1</v>
      </c>
      <c r="O31" s="698">
        <f>(+$K$30-$K$31)/$K$30</f>
        <v>0.25</v>
      </c>
      <c r="P31" s="599" t="s">
        <v>581</v>
      </c>
    </row>
    <row r="32" spans="2:16" s="592" customFormat="1" ht="12" thickBot="1" x14ac:dyDescent="0.3">
      <c r="B32" s="600" t="s">
        <v>582</v>
      </c>
      <c r="C32" s="689">
        <f t="shared" ref="C32:K32" si="10">IF(C27&gt;0,C27-C26-C29+C30-C31,"")</f>
        <v>57075</v>
      </c>
      <c r="D32" s="689" t="str">
        <f t="shared" si="10"/>
        <v/>
      </c>
      <c r="E32" s="689" t="str">
        <f t="shared" si="10"/>
        <v/>
      </c>
      <c r="F32" s="689" t="str">
        <f t="shared" si="10"/>
        <v/>
      </c>
      <c r="G32" s="689" t="str">
        <f t="shared" si="10"/>
        <v/>
      </c>
      <c r="H32" s="689" t="str">
        <f t="shared" si="10"/>
        <v/>
      </c>
      <c r="I32" s="689" t="str">
        <f t="shared" si="10"/>
        <v/>
      </c>
      <c r="J32" s="690" t="str">
        <f t="shared" si="10"/>
        <v/>
      </c>
      <c r="K32" s="687">
        <f t="shared" si="10"/>
        <v>57075</v>
      </c>
      <c r="L32" s="688">
        <f>+K32/$K$5</f>
        <v>28.537500000000001</v>
      </c>
      <c r="M32" s="584"/>
      <c r="N32" s="662">
        <f>COUNT(C32:J32)</f>
        <v>1</v>
      </c>
      <c r="O32" s="601"/>
    </row>
    <row r="33" spans="2:34" s="592" customFormat="1" ht="12" thickBot="1" x14ac:dyDescent="0.3">
      <c r="B33" s="602" t="s">
        <v>583</v>
      </c>
      <c r="C33" s="691">
        <f t="shared" ref="C33:K33" si="11">IF(C27&gt;0,C32/(C27+C30),"")</f>
        <v>0.12143617021276595</v>
      </c>
      <c r="D33" s="691" t="str">
        <f t="shared" si="11"/>
        <v/>
      </c>
      <c r="E33" s="691" t="str">
        <f t="shared" si="11"/>
        <v/>
      </c>
      <c r="F33" s="691" t="str">
        <f t="shared" si="11"/>
        <v/>
      </c>
      <c r="G33" s="691" t="str">
        <f t="shared" si="11"/>
        <v/>
      </c>
      <c r="H33" s="691" t="str">
        <f t="shared" si="11"/>
        <v/>
      </c>
      <c r="I33" s="691" t="str">
        <f t="shared" si="11"/>
        <v/>
      </c>
      <c r="J33" s="692" t="str">
        <f t="shared" si="11"/>
        <v/>
      </c>
      <c r="K33" s="682">
        <f t="shared" si="11"/>
        <v>0.12143617021276595</v>
      </c>
      <c r="L33" s="596"/>
    </row>
    <row r="34" spans="2:34" s="592" customFormat="1" x14ac:dyDescent="0.25">
      <c r="B34" s="603" t="s">
        <v>584</v>
      </c>
      <c r="C34" s="598">
        <v>25000</v>
      </c>
      <c r="D34" s="598"/>
      <c r="E34" s="598"/>
      <c r="F34" s="604"/>
      <c r="G34" s="598"/>
      <c r="H34" s="598"/>
      <c r="I34" s="598"/>
      <c r="J34" s="605"/>
      <c r="K34" s="683">
        <f t="shared" si="7"/>
        <v>25000</v>
      </c>
      <c r="L34" s="684">
        <f t="shared" si="6"/>
        <v>12.5</v>
      </c>
      <c r="M34" s="584"/>
      <c r="N34" s="662">
        <f t="shared" si="8"/>
        <v>1</v>
      </c>
      <c r="O34" s="697">
        <f>+$K$34/($K$27+$K$30-$K$29)</f>
        <v>5.3763440860215055E-2</v>
      </c>
      <c r="P34" s="599" t="s">
        <v>579</v>
      </c>
    </row>
    <row r="35" spans="2:34" s="592" customFormat="1" x14ac:dyDescent="0.25">
      <c r="B35" s="606" t="s">
        <v>585</v>
      </c>
      <c r="C35" s="583">
        <v>0</v>
      </c>
      <c r="D35" s="583"/>
      <c r="E35" s="583"/>
      <c r="F35" s="583"/>
      <c r="G35" s="583"/>
      <c r="H35" s="583"/>
      <c r="I35" s="583"/>
      <c r="J35" s="583"/>
      <c r="K35" s="667">
        <f t="shared" si="7"/>
        <v>0</v>
      </c>
      <c r="L35" s="686">
        <f t="shared" si="6"/>
        <v>0</v>
      </c>
      <c r="M35" s="584"/>
      <c r="N35" s="662">
        <f t="shared" si="8"/>
        <v>1</v>
      </c>
      <c r="O35" s="607"/>
      <c r="P35" s="608"/>
    </row>
    <row r="36" spans="2:34" s="592" customFormat="1" x14ac:dyDescent="0.25">
      <c r="B36" s="606" t="s">
        <v>586</v>
      </c>
      <c r="C36" s="583">
        <v>0</v>
      </c>
      <c r="D36" s="583"/>
      <c r="E36" s="583"/>
      <c r="F36" s="583"/>
      <c r="G36" s="583"/>
      <c r="H36" s="583"/>
      <c r="I36" s="583"/>
      <c r="J36" s="583"/>
      <c r="K36" s="667">
        <f t="shared" ref="K36" si="12">SUM(C36:J36)/N36</f>
        <v>0</v>
      </c>
      <c r="L36" s="686">
        <f t="shared" si="6"/>
        <v>0</v>
      </c>
      <c r="M36" s="584"/>
      <c r="N36" s="662">
        <f t="shared" si="8"/>
        <v>1</v>
      </c>
      <c r="O36" s="607"/>
      <c r="P36" s="608"/>
    </row>
    <row r="37" spans="2:34" s="592" customFormat="1" x14ac:dyDescent="0.25">
      <c r="B37" s="609" t="s">
        <v>587</v>
      </c>
      <c r="C37" s="586">
        <v>5000</v>
      </c>
      <c r="D37" s="586"/>
      <c r="E37" s="586"/>
      <c r="F37" s="586"/>
      <c r="G37" s="586"/>
      <c r="H37" s="586"/>
      <c r="I37" s="586"/>
      <c r="J37" s="586"/>
      <c r="K37" s="667">
        <f t="shared" si="7"/>
        <v>5000</v>
      </c>
      <c r="L37" s="686">
        <f t="shared" si="6"/>
        <v>2.5</v>
      </c>
      <c r="M37" s="584"/>
      <c r="N37" s="662">
        <f t="shared" si="8"/>
        <v>1</v>
      </c>
    </row>
    <row r="38" spans="2:34" s="592" customFormat="1" ht="12" thickBot="1" x14ac:dyDescent="0.3">
      <c r="B38" s="610" t="s">
        <v>588</v>
      </c>
      <c r="C38" s="693">
        <f>IF(C27&gt;0,C32-C34-C35-C36-C37,"")</f>
        <v>27075</v>
      </c>
      <c r="D38" s="693" t="str">
        <f t="shared" ref="D38:K38" si="13">IF(D27&gt;0,D32-D34-D35-D36-D37,"")</f>
        <v/>
      </c>
      <c r="E38" s="693" t="str">
        <f t="shared" si="13"/>
        <v/>
      </c>
      <c r="F38" s="693" t="str">
        <f t="shared" si="13"/>
        <v/>
      </c>
      <c r="G38" s="693" t="str">
        <f t="shared" si="13"/>
        <v/>
      </c>
      <c r="H38" s="693" t="str">
        <f t="shared" si="13"/>
        <v/>
      </c>
      <c r="I38" s="693" t="str">
        <f t="shared" si="13"/>
        <v/>
      </c>
      <c r="J38" s="694" t="str">
        <f t="shared" si="13"/>
        <v/>
      </c>
      <c r="K38" s="673">
        <f t="shared" si="13"/>
        <v>27075</v>
      </c>
      <c r="L38" s="674">
        <f t="shared" si="6"/>
        <v>13.5375</v>
      </c>
      <c r="N38" s="662">
        <f t="shared" si="8"/>
        <v>1</v>
      </c>
    </row>
    <row r="39" spans="2:34" s="592" customFormat="1" ht="12.75" thickBot="1" x14ac:dyDescent="0.3">
      <c r="B39" s="589" t="s">
        <v>576</v>
      </c>
      <c r="C39" s="695">
        <f t="shared" ref="C39:K39" si="14">IF(C27&gt;0,C38/(C27+C30),"")</f>
        <v>5.7606382978723406E-2</v>
      </c>
      <c r="D39" s="695" t="str">
        <f t="shared" si="14"/>
        <v/>
      </c>
      <c r="E39" s="695" t="str">
        <f t="shared" si="14"/>
        <v/>
      </c>
      <c r="F39" s="695" t="str">
        <f t="shared" si="14"/>
        <v/>
      </c>
      <c r="G39" s="695" t="str">
        <f t="shared" si="14"/>
        <v/>
      </c>
      <c r="H39" s="695" t="str">
        <f t="shared" si="14"/>
        <v/>
      </c>
      <c r="I39" s="695" t="str">
        <f t="shared" si="14"/>
        <v/>
      </c>
      <c r="J39" s="696" t="str">
        <f t="shared" si="14"/>
        <v/>
      </c>
      <c r="K39" s="682">
        <f t="shared" si="14"/>
        <v>5.7606382978723406E-2</v>
      </c>
      <c r="L39" s="596"/>
      <c r="S39" s="611" t="s">
        <v>589</v>
      </c>
      <c r="T39" s="612"/>
      <c r="U39" s="612"/>
      <c r="V39" s="612"/>
      <c r="W39" s="612"/>
      <c r="X39" s="612"/>
      <c r="Y39" s="612"/>
      <c r="Z39" s="612"/>
      <c r="AA39" s="612"/>
      <c r="AB39" s="612"/>
      <c r="AC39" s="612"/>
      <c r="AD39" s="612"/>
      <c r="AE39" s="612"/>
      <c r="AF39" s="612"/>
      <c r="AG39" s="612"/>
      <c r="AH39" s="613"/>
    </row>
    <row r="40" spans="2:34" ht="12" x14ac:dyDescent="0.25">
      <c r="B40" s="597" t="s">
        <v>590</v>
      </c>
      <c r="C40" s="614">
        <v>450000</v>
      </c>
      <c r="D40" s="614"/>
      <c r="E40" s="614"/>
      <c r="F40" s="614"/>
      <c r="G40" s="614"/>
      <c r="H40" s="614"/>
      <c r="I40" s="614"/>
      <c r="J40" s="614" t="str">
        <f t="shared" ref="J40" si="15">IF(J27&gt;0,+J27+J30-J29,"")</f>
        <v/>
      </c>
      <c r="K40" s="683">
        <f t="shared" ref="K40:K42" si="16">SUM(C40:J40)/N40</f>
        <v>450000</v>
      </c>
      <c r="L40" s="684">
        <f>+K40/$K$5</f>
        <v>225</v>
      </c>
      <c r="N40" s="662">
        <f>COUNT(C40:J40)</f>
        <v>1</v>
      </c>
      <c r="S40" s="615" t="s">
        <v>591</v>
      </c>
      <c r="T40" s="616">
        <f>+K43</f>
        <v>314340</v>
      </c>
      <c r="U40" s="732">
        <f>IF(T41&gt;0,1,"")</f>
        <v>1</v>
      </c>
      <c r="V40" s="732">
        <f t="shared" ref="V40:AF40" si="17">IF(U40&lt;=$T$41-1,U40+1,"")</f>
        <v>2</v>
      </c>
      <c r="W40" s="732">
        <f t="shared" si="17"/>
        <v>3</v>
      </c>
      <c r="X40" s="732">
        <f t="shared" si="17"/>
        <v>4</v>
      </c>
      <c r="Y40" s="732">
        <f t="shared" si="17"/>
        <v>5</v>
      </c>
      <c r="Z40" s="733">
        <f t="shared" si="17"/>
        <v>6</v>
      </c>
      <c r="AA40" s="732">
        <f t="shared" si="17"/>
        <v>7</v>
      </c>
      <c r="AB40" s="732">
        <f t="shared" si="17"/>
        <v>8</v>
      </c>
      <c r="AC40" s="733">
        <f t="shared" si="17"/>
        <v>9</v>
      </c>
      <c r="AD40" s="732">
        <f t="shared" si="17"/>
        <v>10</v>
      </c>
      <c r="AE40" s="732">
        <f t="shared" si="17"/>
        <v>11</v>
      </c>
      <c r="AF40" s="733">
        <f t="shared" si="17"/>
        <v>12</v>
      </c>
      <c r="AG40" s="617"/>
      <c r="AH40" s="613"/>
    </row>
    <row r="41" spans="2:34" ht="12" x14ac:dyDescent="0.25">
      <c r="B41" s="618">
        <v>0.75</v>
      </c>
      <c r="C41" s="703">
        <f t="shared" ref="C41:J41" si="18">IF(C27&gt;0,+C27*$B$41,"")</f>
        <v>337500</v>
      </c>
      <c r="D41" s="703" t="str">
        <f t="shared" si="18"/>
        <v/>
      </c>
      <c r="E41" s="703" t="str">
        <f t="shared" si="18"/>
        <v/>
      </c>
      <c r="F41" s="619" t="str">
        <f t="shared" si="18"/>
        <v/>
      </c>
      <c r="G41" s="619" t="str">
        <f t="shared" si="18"/>
        <v/>
      </c>
      <c r="H41" s="619" t="str">
        <f t="shared" si="18"/>
        <v/>
      </c>
      <c r="I41" s="619" t="str">
        <f t="shared" si="18"/>
        <v/>
      </c>
      <c r="J41" s="620" t="str">
        <f t="shared" si="18"/>
        <v/>
      </c>
      <c r="K41" s="667">
        <f>SUM(C41:J41)/N41</f>
        <v>337500</v>
      </c>
      <c r="L41" s="686">
        <f>+K41/$K$5</f>
        <v>168.75</v>
      </c>
      <c r="N41" s="662">
        <f>COUNT(C41:J41)</f>
        <v>1</v>
      </c>
      <c r="S41" s="621" t="s">
        <v>592</v>
      </c>
      <c r="T41" s="622">
        <v>12</v>
      </c>
      <c r="U41" s="734">
        <f>IF(T41&gt;0,1,"")</f>
        <v>1</v>
      </c>
      <c r="V41" s="735">
        <f t="shared" ref="V41:AF41" si="19">IF(+U41&lt;=$T$42-1,U41+1,"")</f>
        <v>2</v>
      </c>
      <c r="W41" s="735">
        <f t="shared" si="19"/>
        <v>3</v>
      </c>
      <c r="X41" s="735">
        <f t="shared" si="19"/>
        <v>4</v>
      </c>
      <c r="Y41" s="735">
        <f t="shared" si="19"/>
        <v>5</v>
      </c>
      <c r="Z41" s="736">
        <f t="shared" si="19"/>
        <v>6</v>
      </c>
      <c r="AA41" s="735" t="str">
        <f t="shared" si="19"/>
        <v/>
      </c>
      <c r="AB41" s="735" t="str">
        <f t="shared" si="19"/>
        <v/>
      </c>
      <c r="AC41" s="736" t="str">
        <f t="shared" si="19"/>
        <v/>
      </c>
      <c r="AD41" s="735" t="str">
        <f t="shared" si="19"/>
        <v/>
      </c>
      <c r="AE41" s="735" t="str">
        <f t="shared" si="19"/>
        <v/>
      </c>
      <c r="AF41" s="736" t="str">
        <f t="shared" si="19"/>
        <v/>
      </c>
      <c r="AG41" s="623"/>
      <c r="AH41" s="613"/>
    </row>
    <row r="42" spans="2:34" ht="12" x14ac:dyDescent="0.25">
      <c r="B42" s="624">
        <v>0.8</v>
      </c>
      <c r="C42" s="704">
        <f t="shared" ref="C42:J42" si="20">IF(C3&gt;"",C26*$B$42,"")</f>
        <v>314340</v>
      </c>
      <c r="D42" s="704" t="str">
        <f t="shared" si="20"/>
        <v/>
      </c>
      <c r="E42" s="704" t="str">
        <f t="shared" si="20"/>
        <v/>
      </c>
      <c r="F42" s="625" t="str">
        <f t="shared" si="20"/>
        <v/>
      </c>
      <c r="G42" s="625" t="str">
        <f t="shared" si="20"/>
        <v/>
      </c>
      <c r="H42" s="625" t="str">
        <f t="shared" si="20"/>
        <v/>
      </c>
      <c r="I42" s="625" t="str">
        <f t="shared" si="20"/>
        <v/>
      </c>
      <c r="J42" s="626" t="str">
        <f t="shared" si="20"/>
        <v/>
      </c>
      <c r="K42" s="667">
        <f t="shared" si="16"/>
        <v>314340</v>
      </c>
      <c r="L42" s="686">
        <f>+K42/$K$5</f>
        <v>157.16999999999999</v>
      </c>
      <c r="N42" s="662">
        <f>COUNT(C42:J42)</f>
        <v>1</v>
      </c>
      <c r="S42" s="621" t="s">
        <v>593</v>
      </c>
      <c r="T42" s="622">
        <v>6</v>
      </c>
      <c r="U42" s="737">
        <f t="shared" ref="U42:AF42" si="21">IF(U41&lt;=$T$42,1/$T$42,"")</f>
        <v>0.16666666666666666</v>
      </c>
      <c r="V42" s="737">
        <f t="shared" si="21"/>
        <v>0.16666666666666666</v>
      </c>
      <c r="W42" s="737">
        <f t="shared" si="21"/>
        <v>0.16666666666666666</v>
      </c>
      <c r="X42" s="737">
        <f t="shared" si="21"/>
        <v>0.16666666666666666</v>
      </c>
      <c r="Y42" s="737">
        <f t="shared" si="21"/>
        <v>0.16666666666666666</v>
      </c>
      <c r="Z42" s="738">
        <f t="shared" si="21"/>
        <v>0.16666666666666666</v>
      </c>
      <c r="AA42" s="737" t="str">
        <f t="shared" si="21"/>
        <v/>
      </c>
      <c r="AB42" s="737" t="str">
        <f t="shared" si="21"/>
        <v/>
      </c>
      <c r="AC42" s="738" t="str">
        <f t="shared" si="21"/>
        <v/>
      </c>
      <c r="AD42" s="737" t="str">
        <f t="shared" si="21"/>
        <v/>
      </c>
      <c r="AE42" s="737" t="str">
        <f t="shared" si="21"/>
        <v/>
      </c>
      <c r="AF42" s="738" t="str">
        <f t="shared" si="21"/>
        <v/>
      </c>
      <c r="AG42" s="627"/>
      <c r="AH42" s="613"/>
    </row>
    <row r="43" spans="2:34" ht="12.75" thickBot="1" x14ac:dyDescent="0.3">
      <c r="B43" s="628" t="s">
        <v>594</v>
      </c>
      <c r="C43" s="705">
        <f t="shared" ref="C43:J43" si="22">IF(C27&gt;0,MIN(C42,C41),"")</f>
        <v>314340</v>
      </c>
      <c r="D43" s="705" t="str">
        <f t="shared" si="22"/>
        <v/>
      </c>
      <c r="E43" s="705" t="str">
        <f t="shared" si="22"/>
        <v/>
      </c>
      <c r="F43" s="629" t="str">
        <f t="shared" si="22"/>
        <v/>
      </c>
      <c r="G43" s="629" t="str">
        <f t="shared" si="22"/>
        <v/>
      </c>
      <c r="H43" s="629" t="str">
        <f t="shared" si="22"/>
        <v/>
      </c>
      <c r="I43" s="629" t="str">
        <f t="shared" si="22"/>
        <v/>
      </c>
      <c r="J43" s="630" t="str">
        <f t="shared" si="22"/>
        <v/>
      </c>
      <c r="K43" s="701">
        <f>SUM(C43:J43)/N43</f>
        <v>314340</v>
      </c>
      <c r="L43" s="702">
        <f>+K43/$K$5</f>
        <v>157.16999999999999</v>
      </c>
      <c r="N43" s="662">
        <f>COUNT(C43:J43)</f>
        <v>1</v>
      </c>
      <c r="O43" s="631">
        <v>0.01</v>
      </c>
      <c r="P43" s="699">
        <f>+K43*O43</f>
        <v>3143.4</v>
      </c>
      <c r="S43" s="621" t="s">
        <v>595</v>
      </c>
      <c r="T43" s="754">
        <f>+AG43</f>
        <v>183365</v>
      </c>
      <c r="U43" s="739">
        <f>IF(U41&lt;=T41,+T40*U42,0)</f>
        <v>52390</v>
      </c>
      <c r="V43" s="739">
        <f t="shared" ref="V43:AF43" si="23">IF(V41&lt;=$T$41,+U43+(+$T$40*V42),0)</f>
        <v>104780</v>
      </c>
      <c r="W43" s="739">
        <f t="shared" si="23"/>
        <v>157170</v>
      </c>
      <c r="X43" s="739">
        <f t="shared" si="23"/>
        <v>209560</v>
      </c>
      <c r="Y43" s="739">
        <f t="shared" si="23"/>
        <v>261950</v>
      </c>
      <c r="Z43" s="740">
        <f t="shared" si="23"/>
        <v>314340</v>
      </c>
      <c r="AA43" s="739">
        <f t="shared" si="23"/>
        <v>0</v>
      </c>
      <c r="AB43" s="739">
        <f t="shared" si="23"/>
        <v>0</v>
      </c>
      <c r="AC43" s="740">
        <f t="shared" si="23"/>
        <v>0</v>
      </c>
      <c r="AD43" s="739">
        <f t="shared" si="23"/>
        <v>0</v>
      </c>
      <c r="AE43" s="739">
        <f t="shared" si="23"/>
        <v>0</v>
      </c>
      <c r="AF43" s="740">
        <f t="shared" si="23"/>
        <v>0</v>
      </c>
      <c r="AG43" s="743">
        <f>AVERAGEIF(U43:AF43,"&gt;1",U43:AF43)</f>
        <v>183365</v>
      </c>
      <c r="AH43" s="612"/>
    </row>
    <row r="44" spans="2:34" ht="12.75" thickBot="1" x14ac:dyDescent="0.3">
      <c r="B44" s="2274" t="s">
        <v>596</v>
      </c>
      <c r="C44" s="2275"/>
      <c r="D44" s="2275"/>
      <c r="E44" s="2275"/>
      <c r="F44" s="2275"/>
      <c r="G44" s="2275"/>
      <c r="H44" s="2275"/>
      <c r="I44" s="2275"/>
      <c r="J44" s="2275"/>
      <c r="K44" s="2276"/>
      <c r="L44" s="632"/>
      <c r="O44" s="633">
        <v>0.09</v>
      </c>
      <c r="P44" s="700">
        <f>+(K43/2)*O44</f>
        <v>14145.3</v>
      </c>
      <c r="S44" s="621" t="s">
        <v>597</v>
      </c>
      <c r="T44" s="634">
        <v>0.09</v>
      </c>
      <c r="U44" s="741">
        <f t="shared" ref="U44:AF44" si="24">IF(U43&gt;0,+U43*$T$44/12,0)</f>
        <v>392.92499999999995</v>
      </c>
      <c r="V44" s="741">
        <f t="shared" si="24"/>
        <v>785.84999999999991</v>
      </c>
      <c r="W44" s="741">
        <f t="shared" si="24"/>
        <v>1178.7749999999999</v>
      </c>
      <c r="X44" s="741">
        <f t="shared" si="24"/>
        <v>1571.6999999999998</v>
      </c>
      <c r="Y44" s="741">
        <f t="shared" si="24"/>
        <v>1964.625</v>
      </c>
      <c r="Z44" s="742">
        <f t="shared" si="24"/>
        <v>2357.5499999999997</v>
      </c>
      <c r="AA44" s="741">
        <f t="shared" si="24"/>
        <v>0</v>
      </c>
      <c r="AB44" s="741">
        <f t="shared" si="24"/>
        <v>0</v>
      </c>
      <c r="AC44" s="742">
        <f t="shared" si="24"/>
        <v>0</v>
      </c>
      <c r="AD44" s="741">
        <f t="shared" si="24"/>
        <v>0</v>
      </c>
      <c r="AE44" s="741">
        <f t="shared" si="24"/>
        <v>0</v>
      </c>
      <c r="AF44" s="742">
        <f t="shared" si="24"/>
        <v>0</v>
      </c>
      <c r="AG44" s="744">
        <f>SUM(U44:AF44)</f>
        <v>8251.4249999999993</v>
      </c>
      <c r="AH44" s="635"/>
    </row>
    <row r="45" spans="2:34" ht="12" x14ac:dyDescent="0.25">
      <c r="B45" s="636" t="s">
        <v>598</v>
      </c>
      <c r="C45" s="706">
        <f t="shared" ref="C45:J45" si="25">IF(C3&gt;"",(C27-C29+C30)/C5,"")</f>
        <v>232.5</v>
      </c>
      <c r="D45" s="706" t="str">
        <f t="shared" si="25"/>
        <v/>
      </c>
      <c r="E45" s="706" t="str">
        <f t="shared" si="25"/>
        <v/>
      </c>
      <c r="F45" s="706" t="str">
        <f t="shared" si="25"/>
        <v/>
      </c>
      <c r="G45" s="706" t="str">
        <f t="shared" si="25"/>
        <v/>
      </c>
      <c r="H45" s="706" t="str">
        <f t="shared" si="25"/>
        <v/>
      </c>
      <c r="I45" s="706" t="str">
        <f t="shared" si="25"/>
        <v/>
      </c>
      <c r="J45" s="707" t="str">
        <f t="shared" si="25"/>
        <v/>
      </c>
      <c r="K45" s="708">
        <f>(K27-K29+K30)/K5</f>
        <v>232.5</v>
      </c>
      <c r="L45" s="637"/>
      <c r="N45" s="662">
        <f>COUNT(C45:J45)</f>
        <v>1</v>
      </c>
      <c r="S45" s="621" t="s">
        <v>599</v>
      </c>
      <c r="T45" s="752">
        <f>+AG44/T42</f>
        <v>1375.2375</v>
      </c>
      <c r="U45" s="638"/>
      <c r="V45" s="638"/>
      <c r="W45" s="638"/>
      <c r="X45" s="638"/>
      <c r="Y45" s="638"/>
      <c r="Z45" s="639"/>
      <c r="AA45" s="638"/>
      <c r="AB45" s="638"/>
      <c r="AC45" s="639"/>
      <c r="AD45" s="638"/>
      <c r="AE45" s="638"/>
      <c r="AF45" s="639"/>
      <c r="AG45" s="640"/>
      <c r="AH45" s="612"/>
    </row>
    <row r="46" spans="2:34" ht="12" x14ac:dyDescent="0.25">
      <c r="B46" s="641">
        <v>0.05</v>
      </c>
      <c r="C46" s="709">
        <f t="shared" ref="C46:K46" si="26">IF(C3&gt;"",((+C26+C31)+((C27-C29+C30)*$B$46))/C5,"")</f>
        <v>215.58750000000001</v>
      </c>
      <c r="D46" s="709" t="str">
        <f t="shared" si="26"/>
        <v/>
      </c>
      <c r="E46" s="709" t="str">
        <f t="shared" si="26"/>
        <v/>
      </c>
      <c r="F46" s="709" t="str">
        <f t="shared" si="26"/>
        <v/>
      </c>
      <c r="G46" s="709" t="str">
        <f t="shared" si="26"/>
        <v/>
      </c>
      <c r="H46" s="709" t="str">
        <f t="shared" si="26"/>
        <v/>
      </c>
      <c r="I46" s="709" t="str">
        <f t="shared" si="26"/>
        <v/>
      </c>
      <c r="J46" s="710" t="str">
        <f t="shared" si="26"/>
        <v/>
      </c>
      <c r="K46" s="711">
        <f t="shared" si="26"/>
        <v>215.58750000000001</v>
      </c>
      <c r="L46" s="637"/>
      <c r="N46" s="662">
        <f>COUNT(C46:J46)</f>
        <v>1</v>
      </c>
      <c r="S46" s="642" t="s">
        <v>600</v>
      </c>
      <c r="T46" s="753">
        <f>+K24/T45</f>
        <v>10.203328515983603</v>
      </c>
      <c r="U46" s="643"/>
      <c r="V46" s="643"/>
      <c r="W46" s="643"/>
      <c r="X46" s="643"/>
      <c r="Y46" s="643"/>
      <c r="Z46" s="745">
        <f>+$K$24/(Z48/Z40)</f>
        <v>10.203328515983603</v>
      </c>
      <c r="AA46" s="643"/>
      <c r="AB46" s="643"/>
      <c r="AC46" s="745">
        <f>+$K$24/(AC48/AC40)</f>
        <v>8.2411499552175265</v>
      </c>
      <c r="AD46" s="643"/>
      <c r="AE46" s="643"/>
      <c r="AF46" s="745">
        <f>+$K$24/(AF48/AF40)</f>
        <v>7.5182420644089722</v>
      </c>
      <c r="AG46" s="644"/>
      <c r="AH46" s="613"/>
    </row>
    <row r="47" spans="2:34" ht="12" thickBot="1" x14ac:dyDescent="0.3">
      <c r="B47" s="645" t="s">
        <v>601</v>
      </c>
      <c r="C47" s="712">
        <f t="shared" ref="C47:J47" si="27">IF(C3&gt;"",+(C45-C46)/C45,"")</f>
        <v>7.2741935483870937E-2</v>
      </c>
      <c r="D47" s="712" t="str">
        <f t="shared" si="27"/>
        <v/>
      </c>
      <c r="E47" s="712" t="str">
        <f t="shared" si="27"/>
        <v/>
      </c>
      <c r="F47" s="712" t="str">
        <f t="shared" si="27"/>
        <v/>
      </c>
      <c r="G47" s="712" t="str">
        <f t="shared" si="27"/>
        <v/>
      </c>
      <c r="H47" s="712" t="str">
        <f t="shared" si="27"/>
        <v/>
      </c>
      <c r="I47" s="712" t="str">
        <f t="shared" si="27"/>
        <v/>
      </c>
      <c r="J47" s="713" t="str">
        <f t="shared" si="27"/>
        <v/>
      </c>
      <c r="K47" s="714">
        <f t="shared" ref="K47" si="28">+(K45-K46)/K45</f>
        <v>7.2741935483870937E-2</v>
      </c>
      <c r="L47" s="637"/>
      <c r="N47" s="662">
        <f>COUNT(C47:J47)</f>
        <v>1</v>
      </c>
      <c r="Z47" s="646"/>
      <c r="AA47" s="751">
        <f t="shared" ref="AA47:AF47" si="29">+$Z$44</f>
        <v>2357.5499999999997</v>
      </c>
      <c r="AB47" s="751">
        <f t="shared" si="29"/>
        <v>2357.5499999999997</v>
      </c>
      <c r="AC47" s="746">
        <f t="shared" si="29"/>
        <v>2357.5499999999997</v>
      </c>
      <c r="AD47" s="751">
        <f t="shared" si="29"/>
        <v>2357.5499999999997</v>
      </c>
      <c r="AE47" s="751">
        <f t="shared" si="29"/>
        <v>2357.5499999999997</v>
      </c>
      <c r="AF47" s="746">
        <f t="shared" si="29"/>
        <v>2357.5499999999997</v>
      </c>
    </row>
    <row r="48" spans="2:34" ht="12" thickBot="1" x14ac:dyDescent="0.3">
      <c r="B48" s="2274" t="s">
        <v>602</v>
      </c>
      <c r="C48" s="2275"/>
      <c r="D48" s="2275"/>
      <c r="E48" s="2275"/>
      <c r="F48" s="2275"/>
      <c r="G48" s="2275"/>
      <c r="H48" s="2275"/>
      <c r="I48" s="2275"/>
      <c r="J48" s="2275"/>
      <c r="K48" s="2277"/>
      <c r="L48" s="632"/>
      <c r="S48" s="647" t="s">
        <v>603</v>
      </c>
      <c r="T48" s="648"/>
      <c r="U48" s="751">
        <f>+U44</f>
        <v>392.92499999999995</v>
      </c>
      <c r="V48" s="751">
        <f t="shared" ref="V48:AF48" si="30">+U48+V44+V47</f>
        <v>1178.7749999999999</v>
      </c>
      <c r="W48" s="751">
        <f t="shared" si="30"/>
        <v>2357.5499999999997</v>
      </c>
      <c r="X48" s="751">
        <f t="shared" si="30"/>
        <v>3929.2499999999995</v>
      </c>
      <c r="Y48" s="751">
        <f t="shared" si="30"/>
        <v>5893.875</v>
      </c>
      <c r="Z48" s="747">
        <f t="shared" si="30"/>
        <v>8251.4249999999993</v>
      </c>
      <c r="AA48" s="751">
        <f t="shared" si="30"/>
        <v>10608.974999999999</v>
      </c>
      <c r="AB48" s="751">
        <f t="shared" si="30"/>
        <v>12966.524999999998</v>
      </c>
      <c r="AC48" s="747">
        <f t="shared" si="30"/>
        <v>15324.074999999997</v>
      </c>
      <c r="AD48" s="751">
        <f t="shared" si="30"/>
        <v>17681.624999999996</v>
      </c>
      <c r="AE48" s="751">
        <f t="shared" si="30"/>
        <v>20039.174999999996</v>
      </c>
      <c r="AF48" s="747">
        <f t="shared" si="30"/>
        <v>22396.724999999995</v>
      </c>
    </row>
    <row r="49" spans="2:32" x14ac:dyDescent="0.25">
      <c r="B49" s="636" t="s">
        <v>598</v>
      </c>
      <c r="C49" s="706">
        <f>C45</f>
        <v>232.5</v>
      </c>
      <c r="D49" s="706" t="str">
        <f t="shared" ref="D49:K49" si="31">D45</f>
        <v/>
      </c>
      <c r="E49" s="706" t="str">
        <f t="shared" si="31"/>
        <v/>
      </c>
      <c r="F49" s="706" t="str">
        <f t="shared" si="31"/>
        <v/>
      </c>
      <c r="G49" s="706" t="str">
        <f t="shared" si="31"/>
        <v/>
      </c>
      <c r="H49" s="706" t="str">
        <f t="shared" si="31"/>
        <v/>
      </c>
      <c r="I49" s="706" t="str">
        <f t="shared" si="31"/>
        <v/>
      </c>
      <c r="J49" s="707" t="str">
        <f t="shared" si="31"/>
        <v/>
      </c>
      <c r="K49" s="708">
        <f t="shared" si="31"/>
        <v>232.5</v>
      </c>
      <c r="L49" s="637"/>
      <c r="N49" s="662">
        <f>COUNT(C49:J49)</f>
        <v>1</v>
      </c>
      <c r="S49" s="553" t="s">
        <v>604</v>
      </c>
      <c r="Z49" s="748">
        <f>+$K$24</f>
        <v>14032</v>
      </c>
      <c r="AC49" s="748">
        <f>+$K$24</f>
        <v>14032</v>
      </c>
      <c r="AF49" s="748">
        <f>+$K$24</f>
        <v>14032</v>
      </c>
    </row>
    <row r="50" spans="2:32" x14ac:dyDescent="0.25">
      <c r="B50" s="649">
        <f>+B46</f>
        <v>0.05</v>
      </c>
      <c r="C50" s="709">
        <f t="shared" ref="C50:K50" si="32">IF(C3&gt;"",(C43*(1+$B$50))/C5,"")</f>
        <v>165.02850000000001</v>
      </c>
      <c r="D50" s="709" t="str">
        <f t="shared" si="32"/>
        <v/>
      </c>
      <c r="E50" s="709" t="str">
        <f t="shared" si="32"/>
        <v/>
      </c>
      <c r="F50" s="709" t="str">
        <f t="shared" si="32"/>
        <v/>
      </c>
      <c r="G50" s="709" t="str">
        <f t="shared" si="32"/>
        <v/>
      </c>
      <c r="H50" s="709" t="str">
        <f t="shared" si="32"/>
        <v/>
      </c>
      <c r="I50" s="709" t="str">
        <f t="shared" si="32"/>
        <v/>
      </c>
      <c r="J50" s="710" t="str">
        <f t="shared" si="32"/>
        <v/>
      </c>
      <c r="K50" s="711">
        <f t="shared" si="32"/>
        <v>165.02850000000001</v>
      </c>
      <c r="L50" s="637"/>
      <c r="N50" s="662">
        <f>COUNT(C50:J50)</f>
        <v>1</v>
      </c>
      <c r="S50" s="553" t="s">
        <v>605</v>
      </c>
      <c r="Z50" s="749">
        <f>+Z49-Z48</f>
        <v>5780.5750000000007</v>
      </c>
      <c r="AA50" s="650"/>
      <c r="AB50" s="650"/>
      <c r="AC50" s="749">
        <f>+AC49-AC48</f>
        <v>-1292.0749999999971</v>
      </c>
      <c r="AD50" s="650"/>
      <c r="AE50" s="650"/>
      <c r="AF50" s="749">
        <f>+AF49-AF48</f>
        <v>-8364.7249999999949</v>
      </c>
    </row>
    <row r="51" spans="2:32" ht="12" thickBot="1" x14ac:dyDescent="0.3">
      <c r="B51" s="645" t="s">
        <v>601</v>
      </c>
      <c r="C51" s="712">
        <f t="shared" ref="C51:J51" si="33">IF(C3&gt;"",+(C49-C50)/C49,"")</f>
        <v>0.29019999999999996</v>
      </c>
      <c r="D51" s="712" t="str">
        <f t="shared" si="33"/>
        <v/>
      </c>
      <c r="E51" s="712" t="str">
        <f t="shared" si="33"/>
        <v/>
      </c>
      <c r="F51" s="712" t="str">
        <f t="shared" si="33"/>
        <v/>
      </c>
      <c r="G51" s="712" t="str">
        <f t="shared" si="33"/>
        <v/>
      </c>
      <c r="H51" s="712" t="str">
        <f t="shared" si="33"/>
        <v/>
      </c>
      <c r="I51" s="712" t="str">
        <f t="shared" si="33"/>
        <v/>
      </c>
      <c r="J51" s="713" t="str">
        <f t="shared" si="33"/>
        <v/>
      </c>
      <c r="K51" s="714">
        <f t="shared" ref="K51" si="34">+(K49-K50)/K49</f>
        <v>0.29019999999999996</v>
      </c>
      <c r="L51" s="637"/>
      <c r="N51" s="662">
        <f>COUNT(C51:J51)</f>
        <v>1</v>
      </c>
      <c r="S51" s="553" t="s">
        <v>606</v>
      </c>
      <c r="Z51" s="750">
        <f>+Z48/Z49</f>
        <v>0.58804340079817552</v>
      </c>
      <c r="AC51" s="750">
        <f>+AC48/AC49</f>
        <v>1.0920806014823259</v>
      </c>
      <c r="AF51" s="750">
        <f>+AF48/AF49</f>
        <v>1.5961178021664764</v>
      </c>
    </row>
    <row r="52" spans="2:32" ht="3" customHeight="1" x14ac:dyDescent="0.25">
      <c r="B52" s="651"/>
      <c r="C52" s="652"/>
      <c r="D52" s="652"/>
      <c r="E52" s="652"/>
      <c r="F52" s="653"/>
      <c r="G52" s="653"/>
      <c r="H52" s="653"/>
      <c r="I52" s="653"/>
      <c r="J52" s="653"/>
      <c r="K52" s="653"/>
    </row>
    <row r="53" spans="2:32" x14ac:dyDescent="0.25">
      <c r="B53" s="651"/>
      <c r="C53" s="652"/>
      <c r="D53" s="652"/>
      <c r="E53" s="652"/>
      <c r="F53" s="653"/>
      <c r="G53" s="653"/>
      <c r="H53" s="653"/>
      <c r="I53" s="653"/>
      <c r="J53" s="653"/>
      <c r="K53" s="653"/>
    </row>
    <row r="54" spans="2:32" x14ac:dyDescent="0.25">
      <c r="B54" s="651" t="s">
        <v>607</v>
      </c>
      <c r="C54" s="715">
        <f t="shared" ref="C54:K54" si="35">+C27</f>
        <v>450000</v>
      </c>
      <c r="D54" s="715">
        <f t="shared" si="35"/>
        <v>0</v>
      </c>
      <c r="E54" s="715">
        <f t="shared" si="35"/>
        <v>0</v>
      </c>
      <c r="F54" s="715">
        <f t="shared" si="35"/>
        <v>0</v>
      </c>
      <c r="G54" s="715">
        <f t="shared" si="35"/>
        <v>0</v>
      </c>
      <c r="H54" s="715">
        <f t="shared" si="35"/>
        <v>0</v>
      </c>
      <c r="I54" s="715">
        <f t="shared" si="35"/>
        <v>0</v>
      </c>
      <c r="J54" s="715">
        <f t="shared" si="35"/>
        <v>0</v>
      </c>
      <c r="K54" s="716">
        <f t="shared" si="35"/>
        <v>450000</v>
      </c>
    </row>
    <row r="55" spans="2:32" x14ac:dyDescent="0.25">
      <c r="B55" s="651" t="s">
        <v>608</v>
      </c>
      <c r="C55" s="717">
        <f t="shared" ref="C55:K55" si="36">+C26</f>
        <v>392925</v>
      </c>
      <c r="D55" s="717" t="str">
        <f t="shared" si="36"/>
        <v/>
      </c>
      <c r="E55" s="717" t="str">
        <f t="shared" si="36"/>
        <v/>
      </c>
      <c r="F55" s="717" t="str">
        <f t="shared" si="36"/>
        <v/>
      </c>
      <c r="G55" s="717" t="str">
        <f t="shared" si="36"/>
        <v/>
      </c>
      <c r="H55" s="717" t="str">
        <f t="shared" si="36"/>
        <v/>
      </c>
      <c r="I55" s="717" t="str">
        <f t="shared" si="36"/>
        <v/>
      </c>
      <c r="J55" s="717" t="str">
        <f t="shared" si="36"/>
        <v/>
      </c>
      <c r="K55" s="718">
        <f t="shared" si="36"/>
        <v>392925</v>
      </c>
    </row>
    <row r="56" spans="2:32" x14ac:dyDescent="0.25">
      <c r="B56" s="651" t="s">
        <v>609</v>
      </c>
      <c r="C56" s="715">
        <f t="shared" ref="C56:K56" si="37">+C54-C55</f>
        <v>57075</v>
      </c>
      <c r="D56" s="715" t="e">
        <f t="shared" si="37"/>
        <v>#VALUE!</v>
      </c>
      <c r="E56" s="715" t="e">
        <f t="shared" si="37"/>
        <v>#VALUE!</v>
      </c>
      <c r="F56" s="715" t="e">
        <f t="shared" si="37"/>
        <v>#VALUE!</v>
      </c>
      <c r="G56" s="715" t="e">
        <f t="shared" si="37"/>
        <v>#VALUE!</v>
      </c>
      <c r="H56" s="715" t="e">
        <f t="shared" si="37"/>
        <v>#VALUE!</v>
      </c>
      <c r="I56" s="715" t="e">
        <f t="shared" si="37"/>
        <v>#VALUE!</v>
      </c>
      <c r="J56" s="715" t="e">
        <f t="shared" si="37"/>
        <v>#VALUE!</v>
      </c>
      <c r="K56" s="719">
        <f t="shared" si="37"/>
        <v>57075</v>
      </c>
    </row>
    <row r="57" spans="2:32" x14ac:dyDescent="0.25">
      <c r="B57" s="651" t="s">
        <v>610</v>
      </c>
      <c r="C57" s="720">
        <f t="shared" ref="C57:K57" si="38">+C56/C54</f>
        <v>0.12683333333333333</v>
      </c>
      <c r="D57" s="720" t="e">
        <f t="shared" si="38"/>
        <v>#VALUE!</v>
      </c>
      <c r="E57" s="720" t="e">
        <f t="shared" si="38"/>
        <v>#VALUE!</v>
      </c>
      <c r="F57" s="720" t="e">
        <f t="shared" si="38"/>
        <v>#VALUE!</v>
      </c>
      <c r="G57" s="720" t="e">
        <f t="shared" si="38"/>
        <v>#VALUE!</v>
      </c>
      <c r="H57" s="720" t="e">
        <f t="shared" si="38"/>
        <v>#VALUE!</v>
      </c>
      <c r="I57" s="720" t="e">
        <f t="shared" si="38"/>
        <v>#VALUE!</v>
      </c>
      <c r="J57" s="720" t="e">
        <f t="shared" si="38"/>
        <v>#VALUE!</v>
      </c>
      <c r="K57" s="721">
        <f t="shared" si="38"/>
        <v>0.12683333333333333</v>
      </c>
    </row>
    <row r="58" spans="2:32" s="592" customFormat="1" x14ac:dyDescent="0.25">
      <c r="B58" s="654" t="s">
        <v>380</v>
      </c>
      <c r="C58" s="722">
        <f t="shared" ref="C58:K58" si="39">+C54+C30-C55-C29-C31-C34-C35-C36-C37</f>
        <v>27075</v>
      </c>
      <c r="D58" s="722" t="e">
        <f t="shared" si="39"/>
        <v>#VALUE!</v>
      </c>
      <c r="E58" s="722" t="e">
        <f t="shared" si="39"/>
        <v>#VALUE!</v>
      </c>
      <c r="F58" s="722" t="e">
        <f t="shared" si="39"/>
        <v>#VALUE!</v>
      </c>
      <c r="G58" s="722" t="e">
        <f t="shared" si="39"/>
        <v>#VALUE!</v>
      </c>
      <c r="H58" s="722" t="e">
        <f t="shared" si="39"/>
        <v>#VALUE!</v>
      </c>
      <c r="I58" s="722" t="e">
        <f t="shared" si="39"/>
        <v>#VALUE!</v>
      </c>
      <c r="J58" s="722" t="e">
        <f t="shared" si="39"/>
        <v>#VALUE!</v>
      </c>
      <c r="K58" s="723">
        <f t="shared" si="39"/>
        <v>27075</v>
      </c>
      <c r="L58" s="655"/>
    </row>
    <row r="59" spans="2:32" s="592" customFormat="1" x14ac:dyDescent="0.25">
      <c r="B59" s="654" t="s">
        <v>611</v>
      </c>
      <c r="C59" s="724">
        <f t="shared" ref="C59:K59" si="40">+C58/(C54+C30)</f>
        <v>5.7606382978723406E-2</v>
      </c>
      <c r="D59" s="724" t="e">
        <f t="shared" si="40"/>
        <v>#VALUE!</v>
      </c>
      <c r="E59" s="724" t="e">
        <f t="shared" si="40"/>
        <v>#VALUE!</v>
      </c>
      <c r="F59" s="724" t="e">
        <f t="shared" si="40"/>
        <v>#VALUE!</v>
      </c>
      <c r="G59" s="724" t="e">
        <f t="shared" si="40"/>
        <v>#VALUE!</v>
      </c>
      <c r="H59" s="724" t="e">
        <f t="shared" si="40"/>
        <v>#VALUE!</v>
      </c>
      <c r="I59" s="724" t="e">
        <f t="shared" si="40"/>
        <v>#VALUE!</v>
      </c>
      <c r="J59" s="724" t="e">
        <f t="shared" si="40"/>
        <v>#VALUE!</v>
      </c>
      <c r="K59" s="725">
        <f t="shared" si="40"/>
        <v>5.7606382978723406E-2</v>
      </c>
      <c r="L59" s="655"/>
    </row>
    <row r="60" spans="2:32" x14ac:dyDescent="0.25">
      <c r="B60" s="651"/>
      <c r="C60" s="726"/>
      <c r="D60" s="726"/>
      <c r="E60" s="726"/>
      <c r="F60" s="726"/>
      <c r="G60" s="726"/>
      <c r="H60" s="726"/>
      <c r="I60" s="726"/>
      <c r="J60" s="726"/>
      <c r="K60" s="727"/>
    </row>
    <row r="61" spans="2:32" s="592" customFormat="1" x14ac:dyDescent="0.25">
      <c r="B61" s="654" t="s">
        <v>612</v>
      </c>
      <c r="C61" s="728">
        <f t="shared" ref="C61:K61" si="41">+C27+C30</f>
        <v>470000</v>
      </c>
      <c r="D61" s="728">
        <f t="shared" si="41"/>
        <v>0</v>
      </c>
      <c r="E61" s="728">
        <f t="shared" si="41"/>
        <v>0</v>
      </c>
      <c r="F61" s="728">
        <f t="shared" si="41"/>
        <v>0</v>
      </c>
      <c r="G61" s="728">
        <f t="shared" si="41"/>
        <v>0</v>
      </c>
      <c r="H61" s="728">
        <f t="shared" si="41"/>
        <v>0</v>
      </c>
      <c r="I61" s="728">
        <f t="shared" si="41"/>
        <v>0</v>
      </c>
      <c r="J61" s="728">
        <f t="shared" si="41"/>
        <v>0</v>
      </c>
      <c r="K61" s="729">
        <f t="shared" si="41"/>
        <v>470000</v>
      </c>
      <c r="L61" s="655"/>
    </row>
    <row r="62" spans="2:32" s="592" customFormat="1" x14ac:dyDescent="0.25">
      <c r="B62" s="654" t="s">
        <v>613</v>
      </c>
      <c r="C62" s="730">
        <f t="shared" ref="C62:K62" si="42">+C26+C29+C31+C34+C35+C36+C37</f>
        <v>442925</v>
      </c>
      <c r="D62" s="730" t="e">
        <f t="shared" si="42"/>
        <v>#VALUE!</v>
      </c>
      <c r="E62" s="730" t="e">
        <f t="shared" si="42"/>
        <v>#VALUE!</v>
      </c>
      <c r="F62" s="730" t="e">
        <f t="shared" si="42"/>
        <v>#VALUE!</v>
      </c>
      <c r="G62" s="730" t="e">
        <f t="shared" si="42"/>
        <v>#VALUE!</v>
      </c>
      <c r="H62" s="730" t="e">
        <f t="shared" si="42"/>
        <v>#VALUE!</v>
      </c>
      <c r="I62" s="730" t="e">
        <f t="shared" si="42"/>
        <v>#VALUE!</v>
      </c>
      <c r="J62" s="730" t="e">
        <f t="shared" si="42"/>
        <v>#VALUE!</v>
      </c>
      <c r="K62" s="731">
        <f t="shared" si="42"/>
        <v>442925</v>
      </c>
      <c r="L62" s="655"/>
    </row>
    <row r="63" spans="2:32" s="592" customFormat="1" x14ac:dyDescent="0.25">
      <c r="B63" s="654" t="s">
        <v>380</v>
      </c>
      <c r="C63" s="728">
        <f t="shared" ref="C63:K63" si="43">+C61-C62</f>
        <v>27075</v>
      </c>
      <c r="D63" s="728" t="e">
        <f t="shared" si="43"/>
        <v>#VALUE!</v>
      </c>
      <c r="E63" s="728" t="e">
        <f t="shared" si="43"/>
        <v>#VALUE!</v>
      </c>
      <c r="F63" s="728" t="e">
        <f t="shared" si="43"/>
        <v>#VALUE!</v>
      </c>
      <c r="G63" s="728" t="e">
        <f t="shared" si="43"/>
        <v>#VALUE!</v>
      </c>
      <c r="H63" s="728" t="e">
        <f t="shared" si="43"/>
        <v>#VALUE!</v>
      </c>
      <c r="I63" s="728" t="e">
        <f t="shared" si="43"/>
        <v>#VALUE!</v>
      </c>
      <c r="J63" s="728" t="e">
        <f t="shared" si="43"/>
        <v>#VALUE!</v>
      </c>
      <c r="K63" s="729">
        <f t="shared" si="43"/>
        <v>27075</v>
      </c>
      <c r="L63" s="655"/>
    </row>
    <row r="64" spans="2:32" s="592" customFormat="1" x14ac:dyDescent="0.25">
      <c r="B64" s="654" t="s">
        <v>611</v>
      </c>
      <c r="C64" s="724">
        <f t="shared" ref="C64:K64" si="44">+C63/C61</f>
        <v>5.7606382978723406E-2</v>
      </c>
      <c r="D64" s="724" t="e">
        <f t="shared" si="44"/>
        <v>#VALUE!</v>
      </c>
      <c r="E64" s="724" t="e">
        <f t="shared" si="44"/>
        <v>#VALUE!</v>
      </c>
      <c r="F64" s="724" t="e">
        <f t="shared" si="44"/>
        <v>#VALUE!</v>
      </c>
      <c r="G64" s="724" t="e">
        <f t="shared" si="44"/>
        <v>#VALUE!</v>
      </c>
      <c r="H64" s="724" t="e">
        <f t="shared" si="44"/>
        <v>#VALUE!</v>
      </c>
      <c r="I64" s="724" t="e">
        <f t="shared" si="44"/>
        <v>#VALUE!</v>
      </c>
      <c r="J64" s="724" t="e">
        <f t="shared" si="44"/>
        <v>#VALUE!</v>
      </c>
      <c r="K64" s="725">
        <f t="shared" si="44"/>
        <v>5.7606382978723406E-2</v>
      </c>
      <c r="L64" s="655"/>
    </row>
    <row r="65" spans="2:12" x14ac:dyDescent="0.25">
      <c r="B65" s="651"/>
      <c r="C65" s="726"/>
      <c r="D65" s="726"/>
      <c r="E65" s="726"/>
      <c r="F65" s="726"/>
      <c r="G65" s="726"/>
      <c r="H65" s="726"/>
      <c r="I65" s="726"/>
      <c r="J65" s="726"/>
      <c r="K65" s="727"/>
    </row>
    <row r="66" spans="2:12" x14ac:dyDescent="0.25">
      <c r="B66" s="656" t="s">
        <v>614</v>
      </c>
      <c r="C66" s="715">
        <f>+C27/C5</f>
        <v>225</v>
      </c>
      <c r="D66" s="715" t="e">
        <f t="shared" ref="D66:K66" si="45">+D27/D5</f>
        <v>#DIV/0!</v>
      </c>
      <c r="E66" s="715" t="e">
        <f t="shared" si="45"/>
        <v>#DIV/0!</v>
      </c>
      <c r="F66" s="715" t="e">
        <f t="shared" si="45"/>
        <v>#DIV/0!</v>
      </c>
      <c r="G66" s="715" t="e">
        <f t="shared" si="45"/>
        <v>#DIV/0!</v>
      </c>
      <c r="H66" s="715" t="e">
        <f t="shared" si="45"/>
        <v>#DIV/0!</v>
      </c>
      <c r="I66" s="715" t="e">
        <f t="shared" si="45"/>
        <v>#DIV/0!</v>
      </c>
      <c r="J66" s="715" t="e">
        <f t="shared" si="45"/>
        <v>#DIV/0!</v>
      </c>
      <c r="K66" s="716">
        <f t="shared" si="45"/>
        <v>225</v>
      </c>
    </row>
    <row r="67" spans="2:12" x14ac:dyDescent="0.25">
      <c r="B67" s="651" t="s">
        <v>615</v>
      </c>
      <c r="C67" s="715">
        <f t="shared" ref="C67:K67" si="46">+C62/C5</f>
        <v>221.46250000000001</v>
      </c>
      <c r="D67" s="715" t="e">
        <f t="shared" si="46"/>
        <v>#VALUE!</v>
      </c>
      <c r="E67" s="715" t="e">
        <f t="shared" si="46"/>
        <v>#VALUE!</v>
      </c>
      <c r="F67" s="715" t="e">
        <f t="shared" si="46"/>
        <v>#VALUE!</v>
      </c>
      <c r="G67" s="715" t="e">
        <f t="shared" si="46"/>
        <v>#VALUE!</v>
      </c>
      <c r="H67" s="715" t="e">
        <f t="shared" si="46"/>
        <v>#VALUE!</v>
      </c>
      <c r="I67" s="715" t="e">
        <f t="shared" si="46"/>
        <v>#VALUE!</v>
      </c>
      <c r="J67" s="715" t="e">
        <f t="shared" si="46"/>
        <v>#VALUE!</v>
      </c>
      <c r="K67" s="718">
        <f t="shared" si="46"/>
        <v>221.46250000000001</v>
      </c>
    </row>
    <row r="68" spans="2:12" x14ac:dyDescent="0.25">
      <c r="B68" s="657"/>
      <c r="C68" s="658"/>
      <c r="D68" s="658"/>
      <c r="E68" s="658"/>
      <c r="F68" s="658"/>
      <c r="G68" s="658"/>
      <c r="H68" s="658"/>
      <c r="I68" s="658"/>
      <c r="J68" s="658"/>
      <c r="K68" s="658"/>
      <c r="L68" s="659"/>
    </row>
    <row r="69" spans="2:12" x14ac:dyDescent="0.25">
      <c r="B69" s="651"/>
      <c r="C69" s="653"/>
      <c r="D69" s="653"/>
      <c r="E69" s="660"/>
      <c r="F69" s="653"/>
      <c r="G69" s="653"/>
      <c r="H69" s="653"/>
      <c r="I69" s="653"/>
      <c r="J69" s="653"/>
      <c r="K69" s="653"/>
    </row>
    <row r="70" spans="2:12" ht="14.25" x14ac:dyDescent="0.2">
      <c r="B70" s="661" t="s">
        <v>616</v>
      </c>
      <c r="C70" s="553"/>
      <c r="D70" s="553"/>
    </row>
    <row r="71" spans="2:12" ht="14.25" x14ac:dyDescent="0.2">
      <c r="B71" s="661" t="s">
        <v>617</v>
      </c>
      <c r="D71" s="553"/>
    </row>
    <row r="72" spans="2:12" x14ac:dyDescent="0.25">
      <c r="D72" s="553"/>
    </row>
    <row r="73" spans="2:12" x14ac:dyDescent="0.25">
      <c r="D73" s="553"/>
    </row>
    <row r="74" spans="2:12" x14ac:dyDescent="0.25">
      <c r="D74" s="553"/>
    </row>
  </sheetData>
  <sheetProtection formatCells="0" formatColumns="0" formatRows="0" insertColumns="0" insertRows="0"/>
  <mergeCells count="3">
    <mergeCell ref="B2:K2"/>
    <mergeCell ref="B44:K44"/>
    <mergeCell ref="B48:K48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0793-FFAF-4C3E-8E41-DDFC023ECA1B}">
  <sheetPr>
    <pageSetUpPr fitToPage="1"/>
  </sheetPr>
  <dimension ref="B1:W54"/>
  <sheetViews>
    <sheetView showGridLines="0" zoomScaleNormal="100" workbookViewId="0"/>
  </sheetViews>
  <sheetFormatPr defaultColWidth="9.140625" defaultRowHeight="12.75" x14ac:dyDescent="0.2"/>
  <cols>
    <col min="1" max="1" width="1.7109375" style="11" customWidth="1"/>
    <col min="2" max="2" width="24.7109375" style="11" customWidth="1"/>
    <col min="3" max="4" width="11.28515625" style="11" bestFit="1" customWidth="1"/>
    <col min="5" max="5" width="12.42578125" style="11" bestFit="1" customWidth="1"/>
    <col min="6" max="6" width="6.7109375" style="11" bestFit="1" customWidth="1"/>
    <col min="7" max="12" width="8.140625" style="11" hidden="1" customWidth="1"/>
    <col min="13" max="13" width="8.140625" style="347" customWidth="1"/>
    <col min="14" max="14" width="0.42578125" style="11" customWidth="1"/>
    <col min="15" max="15" width="12.42578125" style="346" bestFit="1" customWidth="1"/>
    <col min="16" max="16" width="9.140625" style="489"/>
    <col min="17" max="16384" width="9.140625" style="11"/>
  </cols>
  <sheetData>
    <row r="1" spans="2:19" ht="9.9499999999999993" customHeight="1" thickBot="1" x14ac:dyDescent="0.25"/>
    <row r="2" spans="2:19" ht="13.5" thickBot="1" x14ac:dyDescent="0.25">
      <c r="B2" s="2278" t="s">
        <v>618</v>
      </c>
      <c r="C2" s="2279"/>
      <c r="D2" s="2279"/>
      <c r="E2" s="2279"/>
      <c r="F2" s="2279"/>
      <c r="G2" s="2279"/>
      <c r="H2" s="2279"/>
      <c r="I2" s="2279"/>
      <c r="J2" s="2279"/>
      <c r="K2" s="2279"/>
      <c r="L2" s="2279"/>
      <c r="M2" s="2279"/>
      <c r="N2" s="2280"/>
    </row>
    <row r="3" spans="2:19" s="347" customFormat="1" x14ac:dyDescent="0.2">
      <c r="B3" s="490" t="s">
        <v>619</v>
      </c>
      <c r="C3" s="491" t="s">
        <v>405</v>
      </c>
      <c r="D3" s="491" t="s">
        <v>405</v>
      </c>
      <c r="E3" s="491" t="s">
        <v>405</v>
      </c>
      <c r="F3" s="491" t="s">
        <v>405</v>
      </c>
      <c r="G3" s="491" t="s">
        <v>405</v>
      </c>
      <c r="H3" s="491" t="s">
        <v>405</v>
      </c>
      <c r="I3" s="491" t="s">
        <v>405</v>
      </c>
      <c r="J3" s="491" t="s">
        <v>405</v>
      </c>
      <c r="K3" s="491" t="s">
        <v>405</v>
      </c>
      <c r="L3" s="491" t="s">
        <v>405</v>
      </c>
      <c r="M3" s="492" t="s">
        <v>620</v>
      </c>
      <c r="N3" s="493"/>
      <c r="O3" s="494"/>
      <c r="P3" s="489"/>
    </row>
    <row r="4" spans="2:19" x14ac:dyDescent="0.2">
      <c r="B4" s="484" t="s">
        <v>621</v>
      </c>
      <c r="C4" s="495" t="s">
        <v>622</v>
      </c>
      <c r="D4" s="495" t="s">
        <v>622</v>
      </c>
      <c r="E4" s="495" t="s">
        <v>623</v>
      </c>
      <c r="F4" s="495"/>
      <c r="G4" s="495"/>
      <c r="H4" s="495"/>
      <c r="I4" s="495"/>
      <c r="J4" s="495"/>
      <c r="K4" s="495"/>
      <c r="L4" s="495"/>
      <c r="M4" s="496"/>
      <c r="N4" s="497"/>
    </row>
    <row r="5" spans="2:19" x14ac:dyDescent="0.2">
      <c r="B5" s="484" t="s">
        <v>624</v>
      </c>
      <c r="C5" s="495" t="s">
        <v>625</v>
      </c>
      <c r="D5" s="495" t="s">
        <v>626</v>
      </c>
      <c r="E5" s="495" t="s">
        <v>627</v>
      </c>
      <c r="F5" s="495"/>
      <c r="G5" s="495"/>
      <c r="H5" s="495"/>
      <c r="I5" s="495"/>
      <c r="J5" s="495"/>
      <c r="K5" s="495"/>
      <c r="L5" s="495"/>
      <c r="M5" s="496"/>
      <c r="N5" s="497"/>
    </row>
    <row r="6" spans="2:19" x14ac:dyDescent="0.2">
      <c r="B6" s="484" t="s">
        <v>628</v>
      </c>
      <c r="C6" s="495">
        <v>3</v>
      </c>
      <c r="D6" s="495">
        <v>2</v>
      </c>
      <c r="E6" s="495">
        <v>160</v>
      </c>
      <c r="F6" s="495"/>
      <c r="G6" s="495"/>
      <c r="H6" s="495"/>
      <c r="I6" s="495"/>
      <c r="J6" s="495"/>
      <c r="K6" s="495"/>
      <c r="L6" s="495"/>
      <c r="M6" s="496"/>
      <c r="N6" s="497"/>
      <c r="P6" s="489" t="s">
        <v>629</v>
      </c>
    </row>
    <row r="7" spans="2:19" s="347" customFormat="1" x14ac:dyDescent="0.2">
      <c r="B7" s="498" t="s">
        <v>630</v>
      </c>
      <c r="C7" s="499">
        <v>44927</v>
      </c>
      <c r="D7" s="499">
        <v>44927</v>
      </c>
      <c r="E7" s="499">
        <v>44927</v>
      </c>
      <c r="F7" s="499"/>
      <c r="G7" s="499"/>
      <c r="H7" s="500"/>
      <c r="I7" s="500"/>
      <c r="J7" s="500"/>
      <c r="K7" s="500"/>
      <c r="L7" s="500"/>
      <c r="M7" s="501"/>
      <c r="N7" s="502"/>
      <c r="O7" s="494"/>
      <c r="P7" s="489" t="s">
        <v>631</v>
      </c>
    </row>
    <row r="8" spans="2:19" s="347" customFormat="1" x14ac:dyDescent="0.2">
      <c r="B8" s="503" t="s">
        <v>632</v>
      </c>
      <c r="C8" s="504">
        <v>60</v>
      </c>
      <c r="D8" s="504">
        <v>30</v>
      </c>
      <c r="E8" s="504">
        <v>30</v>
      </c>
      <c r="F8" s="504">
        <v>0</v>
      </c>
      <c r="G8" s="504">
        <v>0</v>
      </c>
      <c r="H8" s="504">
        <v>0</v>
      </c>
      <c r="I8" s="504">
        <v>0</v>
      </c>
      <c r="J8" s="504">
        <v>0</v>
      </c>
      <c r="K8" s="504">
        <v>0</v>
      </c>
      <c r="L8" s="504">
        <v>0</v>
      </c>
      <c r="M8" s="496">
        <v>15</v>
      </c>
      <c r="N8" s="505"/>
      <c r="O8" s="494">
        <f>SUM(C8:M8)</f>
        <v>135</v>
      </c>
      <c r="P8" s="489" t="s">
        <v>633</v>
      </c>
    </row>
    <row r="9" spans="2:19" x14ac:dyDescent="0.2">
      <c r="B9" s="506" t="s">
        <v>634</v>
      </c>
      <c r="C9" s="487">
        <f>IF(C8&gt;0,C8/$O$8,0)</f>
        <v>0.44444444444444442</v>
      </c>
      <c r="D9" s="487">
        <f>IF(D8&gt;0,D8/$O$8,0)</f>
        <v>0.22222222222222221</v>
      </c>
      <c r="E9" s="487">
        <f>IF(E8&gt;0,E8/$O$8,0)</f>
        <v>0.22222222222222221</v>
      </c>
      <c r="F9" s="487">
        <v>0</v>
      </c>
      <c r="G9" s="487">
        <f t="shared" ref="G9:M9" si="0">IF(G8&gt;0,G8/$O$8,0)</f>
        <v>0</v>
      </c>
      <c r="H9" s="487">
        <f t="shared" si="0"/>
        <v>0</v>
      </c>
      <c r="I9" s="487">
        <f t="shared" si="0"/>
        <v>0</v>
      </c>
      <c r="J9" s="487">
        <f t="shared" si="0"/>
        <v>0</v>
      </c>
      <c r="K9" s="487">
        <f t="shared" si="0"/>
        <v>0</v>
      </c>
      <c r="L9" s="487">
        <f t="shared" si="0"/>
        <v>0</v>
      </c>
      <c r="M9" s="549">
        <f t="shared" si="0"/>
        <v>0.1111111111111111</v>
      </c>
      <c r="N9" s="507"/>
      <c r="O9" s="508">
        <f>SUM(C9:M9)</f>
        <v>1</v>
      </c>
    </row>
    <row r="10" spans="2:19" x14ac:dyDescent="0.2">
      <c r="B10" s="503" t="s">
        <v>635</v>
      </c>
      <c r="C10" s="509">
        <v>300000</v>
      </c>
      <c r="D10" s="509">
        <v>150000</v>
      </c>
      <c r="E10" s="509">
        <v>150000</v>
      </c>
      <c r="F10" s="509"/>
      <c r="G10" s="509"/>
      <c r="H10" s="112"/>
      <c r="I10" s="112"/>
      <c r="J10" s="112"/>
      <c r="K10" s="112"/>
      <c r="L10" s="112"/>
      <c r="M10" s="510"/>
      <c r="N10" s="507"/>
      <c r="O10" s="511">
        <f>+SUM(C10:L10)</f>
        <v>600000</v>
      </c>
      <c r="P10" s="489" t="s">
        <v>636</v>
      </c>
      <c r="S10" s="489" t="s">
        <v>637</v>
      </c>
    </row>
    <row r="11" spans="2:19" x14ac:dyDescent="0.2">
      <c r="B11" s="484" t="s">
        <v>638</v>
      </c>
      <c r="C11" s="512" t="s">
        <v>639</v>
      </c>
      <c r="D11" s="512" t="s">
        <v>639</v>
      </c>
      <c r="E11" s="512" t="s">
        <v>640</v>
      </c>
      <c r="F11" s="512"/>
      <c r="G11" s="512"/>
      <c r="M11" s="513"/>
      <c r="N11" s="514"/>
      <c r="P11" s="489" t="s">
        <v>641</v>
      </c>
    </row>
    <row r="12" spans="2:19" x14ac:dyDescent="0.2">
      <c r="B12" s="515" t="s">
        <v>642</v>
      </c>
      <c r="C12" s="516">
        <v>60</v>
      </c>
      <c r="D12" s="516">
        <v>60</v>
      </c>
      <c r="E12" s="516">
        <v>60</v>
      </c>
      <c r="F12" s="516">
        <v>0</v>
      </c>
      <c r="G12" s="516">
        <v>0</v>
      </c>
      <c r="H12" s="516">
        <v>0</v>
      </c>
      <c r="I12" s="516">
        <v>0</v>
      </c>
      <c r="J12" s="516">
        <v>0</v>
      </c>
      <c r="K12" s="516">
        <v>0</v>
      </c>
      <c r="L12" s="516">
        <v>0</v>
      </c>
      <c r="M12" s="517">
        <v>60</v>
      </c>
      <c r="N12" s="518"/>
      <c r="P12" s="11"/>
    </row>
    <row r="13" spans="2:19" x14ac:dyDescent="0.2">
      <c r="B13" s="519" t="s">
        <v>643</v>
      </c>
      <c r="C13" s="495">
        <v>20</v>
      </c>
      <c r="D13" s="495">
        <v>5</v>
      </c>
      <c r="E13" s="495">
        <v>5</v>
      </c>
      <c r="F13" s="495"/>
      <c r="G13" s="495"/>
      <c r="H13" s="495"/>
      <c r="I13" s="495"/>
      <c r="J13" s="495"/>
      <c r="K13" s="495"/>
      <c r="L13" s="495"/>
      <c r="M13" s="496">
        <v>5</v>
      </c>
      <c r="N13" s="497"/>
      <c r="O13" s="348">
        <f>SUM(C13:M13)</f>
        <v>35</v>
      </c>
      <c r="P13" s="489" t="s">
        <v>644</v>
      </c>
    </row>
    <row r="14" spans="2:19" x14ac:dyDescent="0.2">
      <c r="B14" s="519" t="s">
        <v>645</v>
      </c>
      <c r="C14" s="512">
        <v>100000</v>
      </c>
      <c r="D14" s="512">
        <v>120000</v>
      </c>
      <c r="E14" s="512">
        <v>140000</v>
      </c>
      <c r="F14" s="512"/>
      <c r="G14" s="512"/>
      <c r="H14" s="512"/>
      <c r="I14" s="512"/>
      <c r="J14" s="512"/>
      <c r="K14" s="512"/>
      <c r="L14" s="512"/>
      <c r="M14" s="520"/>
      <c r="N14" s="521"/>
      <c r="O14" s="522"/>
    </row>
    <row r="15" spans="2:19" ht="2.25" customHeight="1" x14ac:dyDescent="0.2">
      <c r="B15" s="519"/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4"/>
      <c r="N15" s="525"/>
      <c r="O15" s="348"/>
    </row>
    <row r="16" spans="2:19" x14ac:dyDescent="0.2">
      <c r="B16" s="519" t="s">
        <v>642</v>
      </c>
      <c r="C16" s="526">
        <v>55</v>
      </c>
      <c r="D16" s="526">
        <v>55</v>
      </c>
      <c r="E16" s="526">
        <v>55</v>
      </c>
      <c r="F16" s="526">
        <v>0</v>
      </c>
      <c r="G16" s="526">
        <v>0</v>
      </c>
      <c r="H16" s="526">
        <v>0</v>
      </c>
      <c r="I16" s="526">
        <v>0</v>
      </c>
      <c r="J16" s="526">
        <v>0</v>
      </c>
      <c r="K16" s="526">
        <v>0</v>
      </c>
      <c r="L16" s="526">
        <v>0</v>
      </c>
      <c r="M16" s="527"/>
      <c r="N16" s="518"/>
      <c r="O16" s="348"/>
    </row>
    <row r="17" spans="2:23" x14ac:dyDescent="0.2">
      <c r="B17" s="519" t="s">
        <v>643</v>
      </c>
      <c r="C17" s="495">
        <v>10</v>
      </c>
      <c r="D17" s="495">
        <v>5</v>
      </c>
      <c r="E17" s="495">
        <v>5</v>
      </c>
      <c r="F17" s="495"/>
      <c r="G17" s="495"/>
      <c r="H17" s="495"/>
      <c r="I17" s="495"/>
      <c r="J17" s="495"/>
      <c r="K17" s="495"/>
      <c r="L17" s="495"/>
      <c r="M17" s="496"/>
      <c r="N17" s="497"/>
      <c r="O17" s="348">
        <f>SUM(C17:M17)</f>
        <v>20</v>
      </c>
    </row>
    <row r="18" spans="2:23" x14ac:dyDescent="0.2">
      <c r="B18" s="519" t="s">
        <v>645</v>
      </c>
      <c r="C18" s="512">
        <v>100000</v>
      </c>
      <c r="D18" s="512">
        <v>120000</v>
      </c>
      <c r="E18" s="512">
        <v>140000</v>
      </c>
      <c r="F18" s="512"/>
      <c r="G18" s="512"/>
      <c r="H18" s="512"/>
      <c r="I18" s="512"/>
      <c r="J18" s="512"/>
      <c r="K18" s="512"/>
      <c r="L18" s="512"/>
      <c r="M18" s="520"/>
      <c r="N18" s="521"/>
      <c r="O18" s="348"/>
    </row>
    <row r="19" spans="2:23" ht="2.25" customHeight="1" x14ac:dyDescent="0.2">
      <c r="B19" s="519"/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4"/>
      <c r="N19" s="525"/>
      <c r="O19" s="348"/>
    </row>
    <row r="20" spans="2:23" x14ac:dyDescent="0.2">
      <c r="B20" s="519" t="s">
        <v>642</v>
      </c>
      <c r="C20" s="526">
        <v>50</v>
      </c>
      <c r="D20" s="526">
        <v>50</v>
      </c>
      <c r="E20" s="526">
        <v>50</v>
      </c>
      <c r="F20" s="526">
        <v>0</v>
      </c>
      <c r="G20" s="526">
        <v>0</v>
      </c>
      <c r="H20" s="526">
        <v>0</v>
      </c>
      <c r="I20" s="526">
        <v>0</v>
      </c>
      <c r="J20" s="526">
        <v>0</v>
      </c>
      <c r="K20" s="526">
        <v>0</v>
      </c>
      <c r="L20" s="526">
        <v>0</v>
      </c>
      <c r="M20" s="527">
        <v>50</v>
      </c>
      <c r="N20" s="518"/>
      <c r="O20" s="348"/>
    </row>
    <row r="21" spans="2:23" x14ac:dyDescent="0.2">
      <c r="B21" s="519" t="s">
        <v>643</v>
      </c>
      <c r="C21" s="495">
        <v>10</v>
      </c>
      <c r="D21" s="495">
        <v>5</v>
      </c>
      <c r="E21" s="495">
        <v>5</v>
      </c>
      <c r="F21" s="495"/>
      <c r="G21" s="495"/>
      <c r="H21" s="495"/>
      <c r="I21" s="495"/>
      <c r="J21" s="495"/>
      <c r="K21" s="495"/>
      <c r="L21" s="495"/>
      <c r="M21" s="496">
        <v>5</v>
      </c>
      <c r="N21" s="497"/>
      <c r="O21" s="348">
        <f>SUM(C21:M21)</f>
        <v>25</v>
      </c>
    </row>
    <row r="22" spans="2:23" x14ac:dyDescent="0.2">
      <c r="B22" s="519" t="s">
        <v>645</v>
      </c>
      <c r="C22" s="512">
        <v>100000</v>
      </c>
      <c r="D22" s="512">
        <v>120000</v>
      </c>
      <c r="E22" s="512">
        <v>140000</v>
      </c>
      <c r="F22" s="512"/>
      <c r="G22" s="512"/>
      <c r="H22" s="512"/>
      <c r="I22" s="512"/>
      <c r="J22" s="512"/>
      <c r="K22" s="512"/>
      <c r="L22" s="512"/>
      <c r="M22" s="520"/>
      <c r="N22" s="521"/>
      <c r="O22" s="348"/>
    </row>
    <row r="23" spans="2:23" ht="2.25" customHeight="1" x14ac:dyDescent="0.2">
      <c r="B23" s="519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4"/>
      <c r="N23" s="525"/>
      <c r="O23" s="348"/>
    </row>
    <row r="24" spans="2:23" x14ac:dyDescent="0.2">
      <c r="B24" s="519" t="s">
        <v>642</v>
      </c>
      <c r="C24" s="526">
        <v>45</v>
      </c>
      <c r="D24" s="526">
        <v>45</v>
      </c>
      <c r="E24" s="526">
        <v>45</v>
      </c>
      <c r="F24" s="526">
        <v>0</v>
      </c>
      <c r="G24" s="526">
        <v>0</v>
      </c>
      <c r="H24" s="526">
        <v>0</v>
      </c>
      <c r="I24" s="526">
        <v>0</v>
      </c>
      <c r="J24" s="526">
        <v>0</v>
      </c>
      <c r="K24" s="526">
        <v>0</v>
      </c>
      <c r="L24" s="526">
        <v>0</v>
      </c>
      <c r="M24" s="527">
        <v>45</v>
      </c>
      <c r="N24" s="518"/>
      <c r="O24" s="348"/>
    </row>
    <row r="25" spans="2:23" x14ac:dyDescent="0.2">
      <c r="B25" s="519" t="s">
        <v>643</v>
      </c>
      <c r="C25" s="495">
        <v>10</v>
      </c>
      <c r="D25" s="495">
        <v>5</v>
      </c>
      <c r="E25" s="495">
        <v>10</v>
      </c>
      <c r="F25" s="495"/>
      <c r="G25" s="495"/>
      <c r="H25" s="495"/>
      <c r="I25" s="495"/>
      <c r="J25" s="495"/>
      <c r="K25" s="495"/>
      <c r="L25" s="495"/>
      <c r="M25" s="496">
        <v>5</v>
      </c>
      <c r="N25" s="497"/>
      <c r="O25" s="348">
        <f>SUM(C25:M25)</f>
        <v>30</v>
      </c>
    </row>
    <row r="26" spans="2:23" x14ac:dyDescent="0.2">
      <c r="B26" s="519" t="s">
        <v>645</v>
      </c>
      <c r="C26" s="512">
        <v>100000</v>
      </c>
      <c r="D26" s="512">
        <v>120000</v>
      </c>
      <c r="E26" s="512">
        <v>140000</v>
      </c>
      <c r="F26" s="512"/>
      <c r="G26" s="512"/>
      <c r="H26" s="512"/>
      <c r="I26" s="512"/>
      <c r="J26" s="512"/>
      <c r="K26" s="512"/>
      <c r="L26" s="512"/>
      <c r="M26" s="520"/>
      <c r="N26" s="521"/>
      <c r="O26" s="348"/>
    </row>
    <row r="27" spans="2:23" ht="2.25" customHeight="1" x14ac:dyDescent="0.2">
      <c r="B27" s="519"/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4"/>
      <c r="N27" s="525"/>
      <c r="O27" s="348"/>
    </row>
    <row r="28" spans="2:23" x14ac:dyDescent="0.2">
      <c r="B28" s="519" t="s">
        <v>642</v>
      </c>
      <c r="C28" s="526">
        <v>30</v>
      </c>
      <c r="D28" s="526">
        <v>30</v>
      </c>
      <c r="E28" s="526">
        <v>30</v>
      </c>
      <c r="F28" s="526">
        <v>0</v>
      </c>
      <c r="G28" s="526">
        <v>0</v>
      </c>
      <c r="H28" s="526">
        <v>0</v>
      </c>
      <c r="I28" s="526">
        <v>0</v>
      </c>
      <c r="J28" s="526">
        <v>0</v>
      </c>
      <c r="K28" s="526">
        <v>0</v>
      </c>
      <c r="L28" s="526">
        <v>0</v>
      </c>
      <c r="M28" s="527"/>
      <c r="N28" s="518"/>
      <c r="O28" s="348"/>
    </row>
    <row r="29" spans="2:23" x14ac:dyDescent="0.2">
      <c r="B29" s="519" t="s">
        <v>643</v>
      </c>
      <c r="C29" s="495">
        <v>10</v>
      </c>
      <c r="D29" s="495">
        <v>10</v>
      </c>
      <c r="E29" s="495">
        <v>5</v>
      </c>
      <c r="F29" s="495"/>
      <c r="G29" s="495"/>
      <c r="H29" s="495"/>
      <c r="I29" s="495"/>
      <c r="J29" s="495"/>
      <c r="K29" s="495"/>
      <c r="L29" s="495"/>
      <c r="M29" s="496"/>
      <c r="N29" s="497"/>
      <c r="O29" s="348">
        <f>SUM(C29:M29)</f>
        <v>25</v>
      </c>
      <c r="P29" s="528">
        <f>SUM(O13:O30)</f>
        <v>135</v>
      </c>
      <c r="Q29" s="529">
        <f>+P29/O8</f>
        <v>1</v>
      </c>
    </row>
    <row r="30" spans="2:23" x14ac:dyDescent="0.2">
      <c r="B30" s="519" t="s">
        <v>645</v>
      </c>
      <c r="C30" s="512">
        <v>100000</v>
      </c>
      <c r="D30" s="512">
        <v>120000</v>
      </c>
      <c r="E30" s="512">
        <v>140000</v>
      </c>
      <c r="F30" s="512"/>
      <c r="G30" s="512"/>
      <c r="H30" s="512"/>
      <c r="I30" s="512"/>
      <c r="J30" s="512"/>
      <c r="K30" s="512"/>
      <c r="L30" s="512"/>
      <c r="M30" s="520"/>
      <c r="N30" s="521"/>
      <c r="O30" s="348"/>
    </row>
    <row r="31" spans="2:23" s="347" customFormat="1" x14ac:dyDescent="0.2">
      <c r="B31" s="530" t="s">
        <v>646</v>
      </c>
      <c r="C31" s="550">
        <f t="shared" ref="C31:L31" si="1">+C13*C14+C17*C18+C21*C22+C25*C26+C29*C30</f>
        <v>6000000</v>
      </c>
      <c r="D31" s="550">
        <f t="shared" si="1"/>
        <v>3600000</v>
      </c>
      <c r="E31" s="550">
        <f t="shared" si="1"/>
        <v>4200000</v>
      </c>
      <c r="F31" s="550">
        <f t="shared" si="1"/>
        <v>0</v>
      </c>
      <c r="G31" s="531">
        <f t="shared" si="1"/>
        <v>0</v>
      </c>
      <c r="H31" s="531">
        <f t="shared" si="1"/>
        <v>0</v>
      </c>
      <c r="I31" s="531">
        <f t="shared" si="1"/>
        <v>0</v>
      </c>
      <c r="J31" s="531">
        <f t="shared" si="1"/>
        <v>0</v>
      </c>
      <c r="K31" s="531">
        <f t="shared" si="1"/>
        <v>0</v>
      </c>
      <c r="L31" s="531">
        <f t="shared" si="1"/>
        <v>0</v>
      </c>
      <c r="M31" s="532"/>
      <c r="N31" s="533"/>
      <c r="O31" s="511">
        <f>+SUM(C31:L31)</f>
        <v>13800000</v>
      </c>
      <c r="P31" s="2281" t="s">
        <v>647</v>
      </c>
      <c r="Q31" s="2281"/>
      <c r="R31" s="2281"/>
      <c r="S31" s="2281"/>
      <c r="T31" s="2281"/>
      <c r="U31" s="2281"/>
      <c r="V31" s="2281"/>
      <c r="W31" s="2281"/>
    </row>
    <row r="32" spans="2:23" s="347" customFormat="1" ht="13.5" thickBot="1" x14ac:dyDescent="0.25">
      <c r="B32" s="484" t="s">
        <v>648</v>
      </c>
      <c r="C32" s="512">
        <v>10000</v>
      </c>
      <c r="D32" s="512">
        <v>10000</v>
      </c>
      <c r="E32" s="534">
        <v>0.03</v>
      </c>
      <c r="F32" s="512"/>
      <c r="G32" s="512"/>
      <c r="H32" s="512"/>
      <c r="I32" s="512"/>
      <c r="J32" s="512"/>
      <c r="K32" s="512"/>
      <c r="L32" s="512"/>
      <c r="M32" s="520"/>
      <c r="N32" s="521"/>
      <c r="O32" s="511">
        <f>+O33-O31</f>
        <v>1326000</v>
      </c>
      <c r="P32" s="2281"/>
      <c r="Q32" s="2281"/>
      <c r="R32" s="2281"/>
      <c r="S32" s="2281"/>
      <c r="T32" s="2281"/>
      <c r="U32" s="2281"/>
      <c r="V32" s="2281"/>
      <c r="W32" s="2281"/>
    </row>
    <row r="33" spans="2:23" s="347" customFormat="1" ht="13.5" thickBot="1" x14ac:dyDescent="0.25">
      <c r="B33" s="535" t="s">
        <v>649</v>
      </c>
      <c r="C33" s="551">
        <f>+C31+C32*C12</f>
        <v>6600000</v>
      </c>
      <c r="D33" s="551">
        <f>+D31+D32*D12</f>
        <v>4200000</v>
      </c>
      <c r="E33" s="551">
        <f>+E31*(1+E32)</f>
        <v>4326000</v>
      </c>
      <c r="F33" s="551">
        <f t="shared" ref="F33:L33" si="2">+F31+F32*F12</f>
        <v>0</v>
      </c>
      <c r="G33" s="536">
        <f t="shared" si="2"/>
        <v>0</v>
      </c>
      <c r="H33" s="537">
        <f t="shared" si="2"/>
        <v>0</v>
      </c>
      <c r="I33" s="537">
        <f t="shared" si="2"/>
        <v>0</v>
      </c>
      <c r="J33" s="537">
        <f t="shared" si="2"/>
        <v>0</v>
      </c>
      <c r="K33" s="537">
        <f t="shared" si="2"/>
        <v>0</v>
      </c>
      <c r="L33" s="537">
        <f t="shared" si="2"/>
        <v>0</v>
      </c>
      <c r="M33" s="538"/>
      <c r="N33" s="539"/>
      <c r="O33" s="511">
        <f>+SUM(C33:L33)</f>
        <v>15126000</v>
      </c>
      <c r="P33" s="2281"/>
      <c r="Q33" s="2281"/>
      <c r="R33" s="2281"/>
      <c r="S33" s="2281"/>
      <c r="T33" s="2281"/>
      <c r="U33" s="2281"/>
      <c r="V33" s="2281"/>
      <c r="W33" s="2281"/>
    </row>
    <row r="34" spans="2:23" s="347" customFormat="1" x14ac:dyDescent="0.2">
      <c r="B34" s="503" t="s">
        <v>650</v>
      </c>
      <c r="C34" s="504" t="s">
        <v>639</v>
      </c>
      <c r="D34" s="504" t="s">
        <v>640</v>
      </c>
      <c r="E34" s="504" t="s">
        <v>639</v>
      </c>
      <c r="F34" s="504"/>
      <c r="G34" s="504"/>
      <c r="H34" s="504"/>
      <c r="I34" s="504"/>
      <c r="J34" s="504"/>
      <c r="K34" s="504"/>
      <c r="L34" s="504"/>
      <c r="M34" s="496"/>
      <c r="N34" s="505"/>
      <c r="O34" s="494"/>
      <c r="P34" s="489" t="s">
        <v>651</v>
      </c>
    </row>
    <row r="35" spans="2:23" x14ac:dyDescent="0.2">
      <c r="B35" s="519" t="s">
        <v>652</v>
      </c>
      <c r="C35" s="540">
        <v>44927</v>
      </c>
      <c r="D35" s="540">
        <v>44927</v>
      </c>
      <c r="E35" s="540">
        <v>44927</v>
      </c>
      <c r="F35" s="540"/>
      <c r="G35" s="540"/>
      <c r="H35" s="540"/>
      <c r="I35" s="540"/>
      <c r="J35" s="540"/>
      <c r="K35" s="540"/>
      <c r="L35" s="540"/>
      <c r="M35" s="541"/>
      <c r="N35" s="542"/>
      <c r="P35" s="489" t="s">
        <v>653</v>
      </c>
    </row>
    <row r="36" spans="2:23" x14ac:dyDescent="0.2">
      <c r="B36" s="519" t="s">
        <v>643</v>
      </c>
      <c r="C36" s="495">
        <v>15</v>
      </c>
      <c r="D36" s="495">
        <v>30</v>
      </c>
      <c r="E36" s="495">
        <v>2</v>
      </c>
      <c r="F36" s="495"/>
      <c r="G36" s="495"/>
      <c r="H36" s="495"/>
      <c r="I36" s="495"/>
      <c r="J36" s="495"/>
      <c r="K36" s="495"/>
      <c r="L36" s="495"/>
      <c r="M36" s="496"/>
      <c r="N36" s="497"/>
    </row>
    <row r="37" spans="2:23" ht="2.25" customHeight="1" x14ac:dyDescent="0.2">
      <c r="B37" s="519"/>
      <c r="C37" s="523"/>
      <c r="D37" s="523"/>
      <c r="E37" s="523"/>
      <c r="F37" s="523"/>
      <c r="G37" s="523"/>
      <c r="H37" s="523"/>
      <c r="I37" s="523"/>
      <c r="J37" s="523"/>
      <c r="K37" s="523"/>
      <c r="L37" s="523"/>
      <c r="M37" s="524"/>
      <c r="N37" s="525"/>
    </row>
    <row r="38" spans="2:23" x14ac:dyDescent="0.2">
      <c r="B38" s="519" t="s">
        <v>654</v>
      </c>
      <c r="C38" s="540">
        <v>44927</v>
      </c>
      <c r="D38" s="540"/>
      <c r="E38" s="540">
        <v>44927</v>
      </c>
      <c r="F38" s="540"/>
      <c r="G38" s="540"/>
      <c r="H38" s="540"/>
      <c r="I38" s="540"/>
      <c r="J38" s="540"/>
      <c r="K38" s="540"/>
      <c r="L38" s="540"/>
      <c r="M38" s="541"/>
      <c r="N38" s="542"/>
      <c r="P38" s="489" t="s">
        <v>655</v>
      </c>
    </row>
    <row r="39" spans="2:23" x14ac:dyDescent="0.2">
      <c r="B39" s="519" t="s">
        <v>643</v>
      </c>
      <c r="C39" s="495">
        <v>15</v>
      </c>
      <c r="D39" s="495"/>
      <c r="E39" s="495">
        <v>10</v>
      </c>
      <c r="F39" s="495"/>
      <c r="G39" s="495"/>
      <c r="H39" s="495"/>
      <c r="I39" s="495"/>
      <c r="J39" s="495"/>
      <c r="K39" s="495"/>
      <c r="L39" s="495"/>
      <c r="M39" s="496"/>
      <c r="N39" s="497"/>
    </row>
    <row r="40" spans="2:23" ht="2.25" customHeight="1" x14ac:dyDescent="0.2">
      <c r="B40" s="519"/>
      <c r="C40" s="523"/>
      <c r="D40" s="523"/>
      <c r="E40" s="523"/>
      <c r="F40" s="523"/>
      <c r="G40" s="523"/>
      <c r="H40" s="523"/>
      <c r="I40" s="523"/>
      <c r="J40" s="523"/>
      <c r="K40" s="523"/>
      <c r="L40" s="523"/>
      <c r="M40" s="524"/>
      <c r="N40" s="525"/>
    </row>
    <row r="41" spans="2:23" x14ac:dyDescent="0.2">
      <c r="B41" s="519" t="s">
        <v>654</v>
      </c>
      <c r="C41" s="540">
        <v>44927</v>
      </c>
      <c r="D41" s="540"/>
      <c r="E41" s="540">
        <v>44927</v>
      </c>
      <c r="F41" s="540"/>
      <c r="G41" s="540"/>
      <c r="H41" s="540"/>
      <c r="I41" s="540"/>
      <c r="J41" s="540"/>
      <c r="K41" s="540"/>
      <c r="L41" s="540"/>
      <c r="M41" s="541"/>
      <c r="N41" s="542"/>
    </row>
    <row r="42" spans="2:23" x14ac:dyDescent="0.2">
      <c r="B42" s="519" t="s">
        <v>643</v>
      </c>
      <c r="C42" s="495">
        <v>15</v>
      </c>
      <c r="D42" s="495"/>
      <c r="E42" s="495">
        <v>3</v>
      </c>
      <c r="F42" s="495"/>
      <c r="G42" s="495"/>
      <c r="H42" s="495"/>
      <c r="I42" s="495"/>
      <c r="J42" s="495"/>
      <c r="K42" s="495"/>
      <c r="L42" s="495"/>
      <c r="M42" s="496"/>
      <c r="N42" s="497"/>
    </row>
    <row r="43" spans="2:23" ht="2.25" customHeight="1" x14ac:dyDescent="0.2">
      <c r="B43" s="519"/>
      <c r="C43" s="523"/>
      <c r="D43" s="523"/>
      <c r="E43" s="523"/>
      <c r="F43" s="523"/>
      <c r="G43" s="523"/>
      <c r="H43" s="523"/>
      <c r="I43" s="523"/>
      <c r="J43" s="523"/>
      <c r="K43" s="523"/>
      <c r="L43" s="523"/>
      <c r="M43" s="524"/>
      <c r="N43" s="525"/>
    </row>
    <row r="44" spans="2:23" x14ac:dyDescent="0.2">
      <c r="B44" s="519" t="s">
        <v>654</v>
      </c>
      <c r="C44" s="540">
        <v>44927</v>
      </c>
      <c r="D44" s="540"/>
      <c r="E44" s="540">
        <v>44927</v>
      </c>
      <c r="F44" s="540"/>
      <c r="G44" s="540"/>
      <c r="H44" s="540"/>
      <c r="I44" s="540"/>
      <c r="J44" s="540"/>
      <c r="K44" s="540"/>
      <c r="L44" s="540"/>
      <c r="M44" s="541"/>
      <c r="N44" s="542"/>
    </row>
    <row r="45" spans="2:23" x14ac:dyDescent="0.2">
      <c r="B45" s="519" t="s">
        <v>643</v>
      </c>
      <c r="C45" s="495">
        <v>5</v>
      </c>
      <c r="D45" s="495"/>
      <c r="E45" s="495">
        <v>5</v>
      </c>
      <c r="F45" s="495"/>
      <c r="G45" s="495"/>
      <c r="H45" s="495"/>
      <c r="I45" s="495"/>
      <c r="J45" s="495"/>
      <c r="K45" s="495"/>
      <c r="L45" s="495"/>
      <c r="M45" s="496"/>
      <c r="N45" s="497"/>
    </row>
    <row r="46" spans="2:23" ht="2.25" customHeight="1" x14ac:dyDescent="0.2">
      <c r="B46" s="519"/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4"/>
      <c r="N46" s="525"/>
    </row>
    <row r="47" spans="2:23" x14ac:dyDescent="0.2">
      <c r="B47" s="519" t="s">
        <v>654</v>
      </c>
      <c r="C47" s="540">
        <v>44927</v>
      </c>
      <c r="D47" s="540"/>
      <c r="E47" s="540">
        <v>44927</v>
      </c>
      <c r="F47" s="540"/>
      <c r="G47" s="540"/>
      <c r="H47" s="540"/>
      <c r="I47" s="540"/>
      <c r="J47" s="540"/>
      <c r="K47" s="540"/>
      <c r="L47" s="540"/>
      <c r="M47" s="541"/>
      <c r="N47" s="542"/>
    </row>
    <row r="48" spans="2:23" x14ac:dyDescent="0.2">
      <c r="B48" s="519" t="s">
        <v>643</v>
      </c>
      <c r="C48" s="495">
        <v>5</v>
      </c>
      <c r="D48" s="495"/>
      <c r="E48" s="495">
        <v>5</v>
      </c>
      <c r="F48" s="495"/>
      <c r="G48" s="495"/>
      <c r="H48" s="495"/>
      <c r="I48" s="495"/>
      <c r="J48" s="495"/>
      <c r="K48" s="495"/>
      <c r="L48" s="495"/>
      <c r="M48" s="496"/>
      <c r="N48" s="497"/>
    </row>
    <row r="49" spans="2:16" ht="2.25" customHeight="1" x14ac:dyDescent="0.2">
      <c r="B49" s="519"/>
      <c r="C49" s="523"/>
      <c r="D49" s="523"/>
      <c r="E49" s="523"/>
      <c r="F49" s="523"/>
      <c r="G49" s="523"/>
      <c r="H49" s="523"/>
      <c r="I49" s="523"/>
      <c r="J49" s="523"/>
      <c r="K49" s="523"/>
      <c r="L49" s="523"/>
      <c r="M49" s="524"/>
      <c r="N49" s="525"/>
    </row>
    <row r="50" spans="2:16" x14ac:dyDescent="0.2">
      <c r="B50" s="519" t="s">
        <v>654</v>
      </c>
      <c r="C50" s="540">
        <v>44927</v>
      </c>
      <c r="D50" s="540"/>
      <c r="E50" s="540">
        <v>44927</v>
      </c>
      <c r="F50" s="540"/>
      <c r="G50" s="540"/>
      <c r="H50" s="540"/>
      <c r="I50" s="540"/>
      <c r="J50" s="540"/>
      <c r="K50" s="540"/>
      <c r="L50" s="540"/>
      <c r="M50" s="541"/>
      <c r="N50" s="542"/>
    </row>
    <row r="51" spans="2:16" x14ac:dyDescent="0.2">
      <c r="B51" s="519" t="s">
        <v>643</v>
      </c>
      <c r="C51" s="495">
        <v>5</v>
      </c>
      <c r="D51" s="495"/>
      <c r="E51" s="495">
        <v>5</v>
      </c>
      <c r="F51" s="495"/>
      <c r="G51" s="495"/>
      <c r="H51" s="495"/>
      <c r="I51" s="495"/>
      <c r="J51" s="495"/>
      <c r="K51" s="495"/>
      <c r="L51" s="495"/>
      <c r="M51" s="496"/>
      <c r="N51" s="497"/>
    </row>
    <row r="52" spans="2:16" s="347" customFormat="1" ht="13.5" thickBot="1" x14ac:dyDescent="0.25">
      <c r="B52" s="543" t="s">
        <v>632</v>
      </c>
      <c r="C52" s="552">
        <f t="shared" ref="C52:L52" si="3">+C36+C39+C42+C45+C48+C51</f>
        <v>60</v>
      </c>
      <c r="D52" s="552">
        <f t="shared" si="3"/>
        <v>30</v>
      </c>
      <c r="E52" s="552">
        <f t="shared" si="3"/>
        <v>30</v>
      </c>
      <c r="F52" s="552">
        <f t="shared" si="3"/>
        <v>0</v>
      </c>
      <c r="G52" s="544">
        <f t="shared" si="3"/>
        <v>0</v>
      </c>
      <c r="H52" s="544">
        <f t="shared" si="3"/>
        <v>0</v>
      </c>
      <c r="I52" s="544">
        <f t="shared" si="3"/>
        <v>0</v>
      </c>
      <c r="J52" s="544">
        <f t="shared" si="3"/>
        <v>0</v>
      </c>
      <c r="K52" s="544">
        <f t="shared" si="3"/>
        <v>0</v>
      </c>
      <c r="L52" s="544">
        <f t="shared" si="3"/>
        <v>0</v>
      </c>
      <c r="M52" s="545"/>
      <c r="N52" s="546"/>
      <c r="O52" s="494">
        <f>SUM(C52:L52)</f>
        <v>120</v>
      </c>
      <c r="P52" s="489" t="s">
        <v>656</v>
      </c>
    </row>
    <row r="53" spans="2:16" x14ac:dyDescent="0.2">
      <c r="O53" s="547">
        <f>+O52/O8</f>
        <v>0.88888888888888884</v>
      </c>
      <c r="P53" s="489" t="s">
        <v>657</v>
      </c>
    </row>
    <row r="54" spans="2:16" x14ac:dyDescent="0.2">
      <c r="O54" s="548">
        <f>+M9</f>
        <v>0.1111111111111111</v>
      </c>
      <c r="P54" s="489" t="s">
        <v>620</v>
      </c>
    </row>
  </sheetData>
  <sheetProtection formatCells="0" formatColumns="0" formatRows="0" insertColumns="0" insertRows="0"/>
  <mergeCells count="2">
    <mergeCell ref="B2:N2"/>
    <mergeCell ref="P31:W33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B6AA-4208-41DA-A19F-1F637E62F045}">
  <sheetPr>
    <pageSetUpPr fitToPage="1"/>
  </sheetPr>
  <dimension ref="A1:O38"/>
  <sheetViews>
    <sheetView showGridLines="0" zoomScaleNormal="100" workbookViewId="0"/>
  </sheetViews>
  <sheetFormatPr defaultColWidth="9.140625" defaultRowHeight="15" x14ac:dyDescent="0.25"/>
  <cols>
    <col min="1" max="1" width="1.7109375" style="446" customWidth="1"/>
    <col min="2" max="2" width="23.85546875" style="446" customWidth="1"/>
    <col min="3" max="3" width="10.140625" style="446" bestFit="1" customWidth="1"/>
    <col min="4" max="4" width="0.7109375" style="755" customWidth="1"/>
    <col min="5" max="10" width="10.7109375" style="446" customWidth="1"/>
    <col min="11" max="14" width="9.140625" style="446"/>
    <col min="15" max="15" width="9.140625" style="756"/>
    <col min="16" max="16384" width="9.140625" style="446"/>
  </cols>
  <sheetData>
    <row r="1" spans="1:15" ht="9.9499999999999993" customHeight="1" thickBot="1" x14ac:dyDescent="0.3"/>
    <row r="2" spans="1:15" ht="15.75" thickBot="1" x14ac:dyDescent="0.3">
      <c r="B2" s="369" t="s">
        <v>658</v>
      </c>
      <c r="C2" s="757"/>
      <c r="D2" s="758"/>
      <c r="E2" s="755"/>
      <c r="F2" s="755"/>
      <c r="G2" s="755"/>
      <c r="H2" s="755"/>
      <c r="I2" s="755"/>
      <c r="J2" s="755"/>
    </row>
    <row r="3" spans="1:15" ht="15.75" thickBot="1" x14ac:dyDescent="0.3">
      <c r="B3" s="759" t="s">
        <v>659</v>
      </c>
      <c r="C3" s="760" t="s">
        <v>660</v>
      </c>
      <c r="D3" s="761"/>
      <c r="E3" s="2282" t="s">
        <v>661</v>
      </c>
      <c r="F3" s="2283"/>
      <c r="G3" s="2283"/>
      <c r="H3" s="2283"/>
      <c r="I3" s="2283"/>
      <c r="J3" s="2284"/>
    </row>
    <row r="4" spans="1:15" ht="4.1500000000000004" customHeight="1" thickBot="1" x14ac:dyDescent="0.3">
      <c r="B4" s="762"/>
      <c r="C4" s="111"/>
      <c r="J4" s="763"/>
    </row>
    <row r="5" spans="1:15" s="769" customFormat="1" ht="15.75" thickBot="1" x14ac:dyDescent="0.3">
      <c r="A5" s="446"/>
      <c r="B5" s="764" t="s">
        <v>662</v>
      </c>
      <c r="C5" s="394" t="s">
        <v>663</v>
      </c>
      <c r="D5" s="358"/>
      <c r="E5" s="765" t="s">
        <v>664</v>
      </c>
      <c r="F5" s="766" t="s">
        <v>665</v>
      </c>
      <c r="G5" s="766" t="s">
        <v>666</v>
      </c>
      <c r="H5" s="766" t="s">
        <v>667</v>
      </c>
      <c r="I5" s="767" t="s">
        <v>668</v>
      </c>
      <c r="J5" s="768" t="s">
        <v>669</v>
      </c>
      <c r="O5" s="770"/>
    </row>
    <row r="6" spans="1:15" s="769" customFormat="1" x14ac:dyDescent="0.25">
      <c r="A6" s="446"/>
      <c r="B6" s="771" t="s">
        <v>670</v>
      </c>
      <c r="C6" s="772">
        <v>16527</v>
      </c>
      <c r="D6" s="773"/>
      <c r="E6" s="774">
        <v>1941</v>
      </c>
      <c r="F6" s="775">
        <v>1125</v>
      </c>
      <c r="G6" s="775">
        <v>3088</v>
      </c>
      <c r="H6" s="776">
        <v>5827</v>
      </c>
      <c r="I6" s="776">
        <v>2663</v>
      </c>
      <c r="J6" s="777">
        <v>1883</v>
      </c>
      <c r="N6" s="841">
        <f>+E6+F6+G6+H6+I6+J6</f>
        <v>16527</v>
      </c>
      <c r="O6" s="778">
        <f>+C6-N6</f>
        <v>0</v>
      </c>
    </row>
    <row r="7" spans="1:15" s="769" customFormat="1" x14ac:dyDescent="0.25">
      <c r="A7" s="446"/>
      <c r="B7" s="779" t="s">
        <v>671</v>
      </c>
      <c r="C7" s="780">
        <v>15255</v>
      </c>
      <c r="D7" s="773"/>
      <c r="E7" s="781">
        <v>1557</v>
      </c>
      <c r="F7" s="782">
        <v>823</v>
      </c>
      <c r="G7" s="782">
        <v>3029</v>
      </c>
      <c r="H7" s="782">
        <v>5702</v>
      </c>
      <c r="I7" s="782">
        <v>2364</v>
      </c>
      <c r="J7" s="783">
        <v>1780</v>
      </c>
      <c r="N7" s="841">
        <f>+E7+F7+G7+H7+I7+J7</f>
        <v>15255</v>
      </c>
      <c r="O7" s="778">
        <f>+C7-N7</f>
        <v>0</v>
      </c>
    </row>
    <row r="8" spans="1:15" s="769" customFormat="1" x14ac:dyDescent="0.25">
      <c r="A8" s="446"/>
      <c r="B8" s="426" t="s">
        <v>672</v>
      </c>
      <c r="C8" s="772">
        <v>11125</v>
      </c>
      <c r="D8" s="773"/>
      <c r="E8" s="784">
        <v>1549</v>
      </c>
      <c r="F8" s="776">
        <v>1505</v>
      </c>
      <c r="G8" s="776">
        <v>1756</v>
      </c>
      <c r="H8" s="776">
        <v>3615</v>
      </c>
      <c r="I8" s="776">
        <v>1576</v>
      </c>
      <c r="J8" s="785">
        <v>1124</v>
      </c>
      <c r="N8" s="841">
        <f>+E8+F8+G8+H8+I8+J8</f>
        <v>11125</v>
      </c>
      <c r="O8" s="778">
        <f>+C8-N8</f>
        <v>0</v>
      </c>
    </row>
    <row r="9" spans="1:15" s="769" customFormat="1" x14ac:dyDescent="0.25">
      <c r="A9" s="446"/>
      <c r="B9" s="786" t="s">
        <v>673</v>
      </c>
      <c r="C9" s="787">
        <v>8.8000000000000007</v>
      </c>
      <c r="D9" s="773"/>
      <c r="E9" s="788">
        <v>11.9</v>
      </c>
      <c r="F9" s="789">
        <v>21.9</v>
      </c>
      <c r="G9" s="789">
        <v>7</v>
      </c>
      <c r="H9" s="789">
        <v>7.6</v>
      </c>
      <c r="I9" s="789">
        <v>8</v>
      </c>
      <c r="J9" s="790">
        <v>7.6</v>
      </c>
      <c r="K9" s="446" t="s">
        <v>674</v>
      </c>
      <c r="O9" s="770"/>
    </row>
    <row r="10" spans="1:15" s="755" customFormat="1" x14ac:dyDescent="0.25">
      <c r="A10" s="446"/>
      <c r="B10" s="762" t="s">
        <v>675</v>
      </c>
      <c r="C10" s="791">
        <v>9.6</v>
      </c>
      <c r="D10" s="792"/>
      <c r="E10" s="793">
        <v>13.2</v>
      </c>
      <c r="F10" s="794">
        <v>22.7</v>
      </c>
      <c r="G10" s="794">
        <v>7.3</v>
      </c>
      <c r="H10" s="794">
        <v>8.6</v>
      </c>
      <c r="I10" s="794">
        <v>9.1999999999999993</v>
      </c>
      <c r="J10" s="795">
        <v>7.6</v>
      </c>
      <c r="O10" s="796"/>
    </row>
    <row r="11" spans="1:15" x14ac:dyDescent="0.25">
      <c r="B11" s="109" t="s">
        <v>676</v>
      </c>
      <c r="C11" s="791">
        <v>10</v>
      </c>
      <c r="D11" s="792"/>
      <c r="E11" s="793">
        <v>14.7</v>
      </c>
      <c r="F11" s="794">
        <v>24.4</v>
      </c>
      <c r="G11" s="794">
        <v>7.4</v>
      </c>
      <c r="H11" s="794">
        <v>9.5</v>
      </c>
      <c r="I11" s="794">
        <v>8.3000000000000007</v>
      </c>
      <c r="J11" s="795">
        <v>7.7</v>
      </c>
    </row>
    <row r="12" spans="1:15" x14ac:dyDescent="0.25">
      <c r="B12" s="109" t="s">
        <v>677</v>
      </c>
      <c r="C12" s="791">
        <v>10</v>
      </c>
      <c r="D12" s="792"/>
      <c r="E12" s="793">
        <v>13.3</v>
      </c>
      <c r="F12" s="794">
        <v>20.5</v>
      </c>
      <c r="G12" s="794">
        <v>8.1</v>
      </c>
      <c r="H12" s="794">
        <v>9.8000000000000007</v>
      </c>
      <c r="I12" s="794">
        <v>8.6999999999999993</v>
      </c>
      <c r="J12" s="795">
        <v>8</v>
      </c>
    </row>
    <row r="13" spans="1:15" x14ac:dyDescent="0.25">
      <c r="B13" s="109" t="s">
        <v>678</v>
      </c>
      <c r="C13" s="791">
        <v>10.199999999999999</v>
      </c>
      <c r="D13" s="792"/>
      <c r="E13" s="793">
        <v>14.8</v>
      </c>
      <c r="F13" s="794">
        <v>18.3</v>
      </c>
      <c r="G13" s="794">
        <v>9</v>
      </c>
      <c r="H13" s="794">
        <v>9.8000000000000007</v>
      </c>
      <c r="I13" s="794">
        <v>8.5</v>
      </c>
      <c r="J13" s="795">
        <v>8</v>
      </c>
    </row>
    <row r="14" spans="1:15" hidden="1" x14ac:dyDescent="0.25">
      <c r="B14" s="109" t="s">
        <v>679</v>
      </c>
      <c r="C14" s="791">
        <v>9</v>
      </c>
      <c r="D14" s="792"/>
      <c r="E14" s="793">
        <v>8.1</v>
      </c>
      <c r="F14" s="794">
        <v>9.4</v>
      </c>
      <c r="G14" s="794">
        <v>7.1</v>
      </c>
      <c r="H14" s="794"/>
      <c r="I14" s="794"/>
      <c r="J14" s="795">
        <v>7.5</v>
      </c>
    </row>
    <row r="15" spans="1:15" hidden="1" x14ac:dyDescent="0.25">
      <c r="B15" s="109" t="s">
        <v>680</v>
      </c>
      <c r="C15" s="791">
        <v>9.6</v>
      </c>
      <c r="D15" s="792"/>
      <c r="E15" s="793">
        <v>8.6</v>
      </c>
      <c r="F15" s="794">
        <v>10.199999999999999</v>
      </c>
      <c r="G15" s="794">
        <v>8.1999999999999993</v>
      </c>
      <c r="H15" s="794"/>
      <c r="I15" s="794"/>
      <c r="J15" s="795">
        <v>10.1</v>
      </c>
    </row>
    <row r="16" spans="1:15" x14ac:dyDescent="0.25">
      <c r="B16" s="797"/>
      <c r="C16" s="798" t="str">
        <f>+C5</f>
        <v>PHOENIX</v>
      </c>
      <c r="D16" s="773"/>
      <c r="E16" s="799" t="str">
        <f t="shared" ref="E16:J16" si="0">+E5</f>
        <v>C VALLEY</v>
      </c>
      <c r="F16" s="800" t="str">
        <f t="shared" si="0"/>
        <v>NE VALLEY</v>
      </c>
      <c r="G16" s="800" t="str">
        <f t="shared" si="0"/>
        <v>NW VALLEY</v>
      </c>
      <c r="H16" s="800" t="str">
        <f t="shared" si="0"/>
        <v>SE VALLEY</v>
      </c>
      <c r="I16" s="800" t="str">
        <f t="shared" si="0"/>
        <v>SW VALLEY</v>
      </c>
      <c r="J16" s="801" t="str">
        <f t="shared" si="0"/>
        <v>PINAL CTY</v>
      </c>
    </row>
    <row r="17" spans="1:15" x14ac:dyDescent="0.25">
      <c r="B17" s="426" t="s">
        <v>681</v>
      </c>
      <c r="C17" s="802">
        <v>2037</v>
      </c>
      <c r="D17" s="803"/>
      <c r="E17" s="804">
        <v>327</v>
      </c>
      <c r="F17" s="805">
        <v>260</v>
      </c>
      <c r="G17" s="805">
        <v>324</v>
      </c>
      <c r="H17" s="805">
        <v>410</v>
      </c>
      <c r="I17" s="805">
        <v>498</v>
      </c>
      <c r="J17" s="806">
        <v>218</v>
      </c>
      <c r="N17" s="841">
        <f>+E17+F17+G17+H17+I17+J17</f>
        <v>2037</v>
      </c>
      <c r="O17" s="778">
        <f>+C17-N17</f>
        <v>0</v>
      </c>
    </row>
    <row r="18" spans="1:15" x14ac:dyDescent="0.25">
      <c r="B18" s="786" t="s">
        <v>673</v>
      </c>
      <c r="C18" s="807">
        <f>$C$17/(C7/12)</f>
        <v>1.6023598820058997</v>
      </c>
      <c r="D18" s="773"/>
      <c r="E18" s="808">
        <f>$E$17/(E7/12)</f>
        <v>2.5202312138728322</v>
      </c>
      <c r="F18" s="809">
        <f>F17/(F7/12)</f>
        <v>3.7910085054678011</v>
      </c>
      <c r="G18" s="809">
        <f>G17/(G7/12)</f>
        <v>1.2835919445361506</v>
      </c>
      <c r="H18" s="809">
        <f>H17/(H7/12)</f>
        <v>0.86285513854787788</v>
      </c>
      <c r="I18" s="809">
        <f>I17/(I7/12)</f>
        <v>2.5279187817258881</v>
      </c>
      <c r="J18" s="810">
        <f>J17/(J7/12)</f>
        <v>1.4696629213483146</v>
      </c>
      <c r="K18" s="446" t="s">
        <v>682</v>
      </c>
    </row>
    <row r="19" spans="1:15" s="755" customFormat="1" x14ac:dyDescent="0.25">
      <c r="A19" s="446"/>
      <c r="B19" s="762" t="s">
        <v>675</v>
      </c>
      <c r="C19" s="811">
        <f>1955/(14338/12)</f>
        <v>1.6362114660343146</v>
      </c>
      <c r="D19" s="812"/>
      <c r="E19" s="813">
        <f>254/(1384/12)</f>
        <v>2.202312138728324</v>
      </c>
      <c r="F19" s="814">
        <f>264/(834/12)</f>
        <v>3.7985611510791366</v>
      </c>
      <c r="G19" s="814">
        <f>243/(2905/12)</f>
        <v>1.0037865748709123</v>
      </c>
      <c r="H19" s="814">
        <f>495/(5316/12)</f>
        <v>1.1173814898419865</v>
      </c>
      <c r="I19" s="814">
        <f>493/(2167/12)</f>
        <v>2.7300415320719886</v>
      </c>
      <c r="J19" s="815">
        <f>206/(1732/12)</f>
        <v>1.4272517321016165</v>
      </c>
      <c r="O19" s="796"/>
    </row>
    <row r="20" spans="1:15" x14ac:dyDescent="0.25">
      <c r="B20" s="109" t="s">
        <v>676</v>
      </c>
      <c r="C20" s="811">
        <f>2070/(13314/12)</f>
        <v>1.8657052726453358</v>
      </c>
      <c r="D20" s="812"/>
      <c r="E20" s="813">
        <f>290/(1186/12)</f>
        <v>2.9342327150084317</v>
      </c>
      <c r="F20" s="814">
        <f>232/(779/12)</f>
        <v>3.5738125802310652</v>
      </c>
      <c r="G20" s="814">
        <f>338/(2698/12)</f>
        <v>1.5033358042994811</v>
      </c>
      <c r="H20" s="814">
        <f>536/(4914/12)</f>
        <v>1.3089133089133089</v>
      </c>
      <c r="I20" s="814">
        <f>414/(2087/12)</f>
        <v>2.3804504072831816</v>
      </c>
      <c r="J20" s="815">
        <f>260/(1650/12)</f>
        <v>1.8909090909090909</v>
      </c>
    </row>
    <row r="21" spans="1:15" x14ac:dyDescent="0.25">
      <c r="B21" s="109" t="s">
        <v>677</v>
      </c>
      <c r="C21" s="811">
        <f>1925/(12427/12)</f>
        <v>1.8588557173895552</v>
      </c>
      <c r="D21" s="812"/>
      <c r="E21" s="813">
        <f>264/(1128/12)</f>
        <v>2.8085106382978724</v>
      </c>
      <c r="F21" s="814">
        <f>270/(785/12)</f>
        <v>4.1273885350318471</v>
      </c>
      <c r="G21" s="814">
        <f>262/(2491/12)</f>
        <v>1.2621437173825771</v>
      </c>
      <c r="H21" s="814">
        <f>475/(4545/12)</f>
        <v>1.2541254125412542</v>
      </c>
      <c r="I21" s="814">
        <f>412/(1890/12)</f>
        <v>2.6158730158730159</v>
      </c>
      <c r="J21" s="815">
        <f>242/(1588/12)</f>
        <v>1.8287153652392947</v>
      </c>
    </row>
    <row r="22" spans="1:15" x14ac:dyDescent="0.25">
      <c r="B22" s="109" t="s">
        <v>678</v>
      </c>
      <c r="C22" s="811">
        <f>1842/(11626/12)</f>
        <v>1.901255805952176</v>
      </c>
      <c r="D22" s="812"/>
      <c r="E22" s="813">
        <f>241/(947/12)</f>
        <v>3.0538542766631465</v>
      </c>
      <c r="F22" s="814">
        <f>269/(791/12)</f>
        <v>4.0809102402022752</v>
      </c>
      <c r="G22" s="814">
        <f>254/(2266/12)</f>
        <v>1.3451015004413063</v>
      </c>
      <c r="H22" s="814">
        <f>498/(4287/12)</f>
        <v>1.3939818054583626</v>
      </c>
      <c r="I22" s="814">
        <f>386/(1796/12)</f>
        <v>2.5790645879732743</v>
      </c>
      <c r="J22" s="815">
        <f>194/(1539/12)</f>
        <v>1.5126705653021442</v>
      </c>
    </row>
    <row r="23" spans="1:15" hidden="1" x14ac:dyDescent="0.25">
      <c r="B23" s="109" t="s">
        <v>679</v>
      </c>
      <c r="C23" s="811">
        <f>822/(7493/12)</f>
        <v>1.3164286667556386</v>
      </c>
      <c r="D23" s="812"/>
      <c r="E23" s="813">
        <f>106/(1227/12)</f>
        <v>1.0366748166259168</v>
      </c>
      <c r="F23" s="814">
        <f>102/(962/12)</f>
        <v>1.2723492723492722</v>
      </c>
      <c r="G23" s="814">
        <f>41/(713/12)</f>
        <v>0.69004207573632537</v>
      </c>
      <c r="H23" s="814"/>
      <c r="I23" s="814"/>
      <c r="J23" s="815">
        <f>31/(439/12)</f>
        <v>0.84738041002277897</v>
      </c>
    </row>
    <row r="24" spans="1:15" hidden="1" x14ac:dyDescent="0.25">
      <c r="B24" s="109" t="s">
        <v>680</v>
      </c>
      <c r="C24" s="811">
        <f>937/(7017/12)</f>
        <v>1.6023941855493802</v>
      </c>
      <c r="D24" s="812"/>
      <c r="E24" s="813">
        <f>136/(1153/12)</f>
        <v>1.4154379878577625</v>
      </c>
      <c r="F24" s="814">
        <f>156/(863/12)</f>
        <v>2.1691772885283891</v>
      </c>
      <c r="G24" s="814">
        <f>78/(645/12)</f>
        <v>1.4511627906976745</v>
      </c>
      <c r="H24" s="814"/>
      <c r="I24" s="814"/>
      <c r="J24" s="815">
        <f>45/(377/12)</f>
        <v>1.4323607427055702</v>
      </c>
    </row>
    <row r="25" spans="1:15" x14ac:dyDescent="0.25">
      <c r="B25" s="797"/>
      <c r="C25" s="798" t="str">
        <f>+C16</f>
        <v>PHOENIX</v>
      </c>
      <c r="D25" s="773"/>
      <c r="E25" s="799" t="str">
        <f>+E5</f>
        <v>C VALLEY</v>
      </c>
      <c r="F25" s="800" t="str">
        <f>+F16</f>
        <v>NE VALLEY</v>
      </c>
      <c r="G25" s="800" t="str">
        <f>+G16</f>
        <v>NW VALLEY</v>
      </c>
      <c r="H25" s="800" t="str">
        <f>+H16</f>
        <v>SE VALLEY</v>
      </c>
      <c r="I25" s="800" t="str">
        <f>+I16</f>
        <v>SW VALLEY</v>
      </c>
      <c r="J25" s="801" t="str">
        <f>+J16</f>
        <v>PINAL CTY</v>
      </c>
    </row>
    <row r="26" spans="1:15" x14ac:dyDescent="0.25">
      <c r="B26" s="426" t="s">
        <v>683</v>
      </c>
      <c r="C26" s="772">
        <v>48405</v>
      </c>
      <c r="D26" s="816"/>
      <c r="E26" s="817">
        <v>1952</v>
      </c>
      <c r="F26" s="818">
        <v>3509</v>
      </c>
      <c r="G26" s="818">
        <v>6140</v>
      </c>
      <c r="H26" s="818">
        <v>9321</v>
      </c>
      <c r="I26" s="818">
        <v>10053</v>
      </c>
      <c r="J26" s="819">
        <v>17430</v>
      </c>
      <c r="N26" s="841">
        <f>+E26+F26+G26+H26+I26+J26</f>
        <v>48405</v>
      </c>
      <c r="O26" s="778">
        <f>+C26-N26</f>
        <v>0</v>
      </c>
    </row>
    <row r="27" spans="1:15" x14ac:dyDescent="0.25">
      <c r="B27" s="786" t="s">
        <v>673</v>
      </c>
      <c r="C27" s="820">
        <v>35.1</v>
      </c>
      <c r="D27" s="773"/>
      <c r="E27" s="788">
        <v>12.1</v>
      </c>
      <c r="F27" s="789">
        <v>37.4</v>
      </c>
      <c r="G27" s="789">
        <v>23.9</v>
      </c>
      <c r="H27" s="789">
        <v>19.2</v>
      </c>
      <c r="I27" s="789">
        <v>45.3</v>
      </c>
      <c r="J27" s="790">
        <v>111.1</v>
      </c>
      <c r="K27" s="446" t="s">
        <v>684</v>
      </c>
    </row>
    <row r="28" spans="1:15" s="755" customFormat="1" x14ac:dyDescent="0.25">
      <c r="A28" s="446"/>
      <c r="B28" s="762" t="s">
        <v>675</v>
      </c>
      <c r="C28" s="821">
        <v>36.200000000000003</v>
      </c>
      <c r="D28" s="773"/>
      <c r="E28" s="793">
        <v>14.6</v>
      </c>
      <c r="F28" s="794">
        <v>35.299999999999997</v>
      </c>
      <c r="G28" s="794">
        <v>25</v>
      </c>
      <c r="H28" s="794">
        <v>20.6</v>
      </c>
      <c r="I28" s="794">
        <v>47.7</v>
      </c>
      <c r="J28" s="795">
        <v>112.3</v>
      </c>
      <c r="O28" s="796"/>
    </row>
    <row r="29" spans="1:15" x14ac:dyDescent="0.25">
      <c r="B29" s="109" t="s">
        <v>676</v>
      </c>
      <c r="C29" s="821">
        <v>37</v>
      </c>
      <c r="D29" s="792"/>
      <c r="E29" s="793">
        <v>15.3</v>
      </c>
      <c r="F29" s="794">
        <v>35.799999999999997</v>
      </c>
      <c r="G29" s="794">
        <v>26.6</v>
      </c>
      <c r="H29" s="794">
        <v>20.7</v>
      </c>
      <c r="I29" s="794">
        <v>52.7</v>
      </c>
      <c r="J29" s="795">
        <v>110.5</v>
      </c>
    </row>
    <row r="30" spans="1:15" x14ac:dyDescent="0.25">
      <c r="B30" s="109" t="s">
        <v>677</v>
      </c>
      <c r="C30" s="821">
        <v>38.799999999999997</v>
      </c>
      <c r="D30" s="822"/>
      <c r="E30" s="823">
        <v>18.8</v>
      </c>
      <c r="F30" s="356">
        <v>42.5</v>
      </c>
      <c r="G30" s="356">
        <v>27.2</v>
      </c>
      <c r="H30" s="356">
        <v>21.2</v>
      </c>
      <c r="I30" s="356">
        <v>55.6</v>
      </c>
      <c r="J30" s="824">
        <v>111.3</v>
      </c>
    </row>
    <row r="31" spans="1:15" ht="15.75" thickBot="1" x14ac:dyDescent="0.3">
      <c r="B31" s="109" t="s">
        <v>678</v>
      </c>
      <c r="C31" s="825">
        <v>42.9</v>
      </c>
      <c r="D31" s="822"/>
      <c r="E31" s="826">
        <v>23.9</v>
      </c>
      <c r="F31" s="827">
        <v>47</v>
      </c>
      <c r="G31" s="828">
        <v>28.4</v>
      </c>
      <c r="H31" s="828">
        <v>23.2</v>
      </c>
      <c r="I31" s="828">
        <v>63.7</v>
      </c>
      <c r="J31" s="829">
        <v>118.9</v>
      </c>
    </row>
    <row r="32" spans="1:15" ht="15.75" hidden="1" thickBot="1" x14ac:dyDescent="0.3">
      <c r="B32" s="109" t="s">
        <v>679</v>
      </c>
      <c r="C32" s="830">
        <v>24.6</v>
      </c>
      <c r="D32" s="831"/>
      <c r="E32" s="832">
        <v>28.8</v>
      </c>
      <c r="F32" s="833">
        <v>30.3</v>
      </c>
      <c r="G32" s="834">
        <v>27</v>
      </c>
      <c r="H32" s="834"/>
      <c r="I32" s="834"/>
      <c r="J32" s="833">
        <v>7.5</v>
      </c>
    </row>
    <row r="33" spans="2:10" ht="15.75" hidden="1" thickBot="1" x14ac:dyDescent="0.3">
      <c r="B33" s="109" t="s">
        <v>680</v>
      </c>
      <c r="C33" s="835">
        <v>25.8</v>
      </c>
      <c r="D33" s="831"/>
      <c r="E33" s="836">
        <v>30.5</v>
      </c>
      <c r="F33" s="377">
        <v>38.1</v>
      </c>
      <c r="G33" s="377">
        <v>30.7</v>
      </c>
      <c r="H33" s="377"/>
      <c r="I33" s="377"/>
      <c r="J33" s="377">
        <v>10.1</v>
      </c>
    </row>
    <row r="34" spans="2:10" x14ac:dyDescent="0.25">
      <c r="B34" s="837" t="s">
        <v>685</v>
      </c>
      <c r="C34" s="114"/>
      <c r="E34" s="838"/>
      <c r="F34" s="839"/>
      <c r="G34" s="839"/>
      <c r="H34" s="839"/>
      <c r="I34" s="839"/>
      <c r="J34" s="839"/>
    </row>
    <row r="35" spans="2:10" x14ac:dyDescent="0.25">
      <c r="B35" s="106" t="s">
        <v>686</v>
      </c>
      <c r="C35" s="106"/>
    </row>
    <row r="36" spans="2:10" x14ac:dyDescent="0.25">
      <c r="B36" s="106" t="s">
        <v>687</v>
      </c>
      <c r="C36" s="106"/>
    </row>
    <row r="38" spans="2:10" x14ac:dyDescent="0.25">
      <c r="C38" s="840" t="s">
        <v>688</v>
      </c>
    </row>
  </sheetData>
  <sheetProtection formatCells="0" formatColumns="0" formatRows="0" insertColumns="0" insertRows="0"/>
  <mergeCells count="1">
    <mergeCell ref="E3:J3"/>
  </mergeCells>
  <pageMargins left="0.7" right="0.7" top="0.75" bottom="0.75" header="0.3" footer="0.3"/>
  <pageSetup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3ADA-DF06-42FD-AC74-587A2CFC4E6F}">
  <sheetPr>
    <pageSetUpPr fitToPage="1"/>
  </sheetPr>
  <dimension ref="B1:K39"/>
  <sheetViews>
    <sheetView showGridLines="0" zoomScaleNormal="100" workbookViewId="0"/>
  </sheetViews>
  <sheetFormatPr defaultColWidth="9.140625" defaultRowHeight="12.75" x14ac:dyDescent="0.2"/>
  <cols>
    <col min="1" max="1" width="1.7109375" style="842" customWidth="1"/>
    <col min="2" max="2" width="31.28515625" style="842" customWidth="1"/>
    <col min="3" max="3" width="8.7109375" style="842" hidden="1" customWidth="1"/>
    <col min="4" max="8" width="10.7109375" style="842" customWidth="1"/>
    <col min="9" max="16384" width="9.140625" style="842"/>
  </cols>
  <sheetData>
    <row r="1" spans="2:11" ht="9.9499999999999993" customHeight="1" thickBot="1" x14ac:dyDescent="0.25"/>
    <row r="2" spans="2:11" s="847" customFormat="1" ht="26.25" customHeight="1" x14ac:dyDescent="0.2">
      <c r="B2" s="843" t="s">
        <v>689</v>
      </c>
      <c r="C2" s="844" t="s">
        <v>690</v>
      </c>
      <c r="D2" s="845" t="s">
        <v>405</v>
      </c>
      <c r="E2" s="846" t="s">
        <v>405</v>
      </c>
      <c r="F2" s="846" t="s">
        <v>405</v>
      </c>
      <c r="G2" s="846" t="s">
        <v>405</v>
      </c>
      <c r="H2" s="2285" t="s">
        <v>691</v>
      </c>
    </row>
    <row r="3" spans="2:11" s="847" customFormat="1" x14ac:dyDescent="0.2">
      <c r="B3" s="848" t="s">
        <v>692</v>
      </c>
      <c r="C3" s="849">
        <v>0</v>
      </c>
      <c r="D3" s="850">
        <v>2020</v>
      </c>
      <c r="E3" s="851">
        <v>2020</v>
      </c>
      <c r="F3" s="851">
        <v>2020</v>
      </c>
      <c r="G3" s="852">
        <v>2020</v>
      </c>
      <c r="H3" s="2286"/>
    </row>
    <row r="4" spans="2:11" s="847" customFormat="1" x14ac:dyDescent="0.2">
      <c r="B4" s="848" t="s">
        <v>693</v>
      </c>
      <c r="C4" s="853">
        <v>0</v>
      </c>
      <c r="D4" s="854">
        <v>0</v>
      </c>
      <c r="E4" s="855">
        <v>0</v>
      </c>
      <c r="F4" s="855">
        <v>0</v>
      </c>
      <c r="G4" s="856">
        <v>0</v>
      </c>
      <c r="H4" s="911">
        <f>SUM(C4:G4)</f>
        <v>0</v>
      </c>
    </row>
    <row r="5" spans="2:11" x14ac:dyDescent="0.2">
      <c r="B5" s="857" t="s">
        <v>694</v>
      </c>
      <c r="C5" s="858">
        <v>0</v>
      </c>
      <c r="D5" s="859">
        <v>0</v>
      </c>
      <c r="E5" s="860">
        <v>0</v>
      </c>
      <c r="F5" s="860">
        <v>0</v>
      </c>
      <c r="G5" s="861">
        <v>0</v>
      </c>
      <c r="H5" s="912">
        <f>SUM(C5:G5)</f>
        <v>0</v>
      </c>
    </row>
    <row r="6" spans="2:11" x14ac:dyDescent="0.2">
      <c r="B6" s="857" t="s">
        <v>695</v>
      </c>
      <c r="C6" s="858">
        <v>0</v>
      </c>
      <c r="D6" s="859">
        <v>0</v>
      </c>
      <c r="E6" s="860">
        <v>0</v>
      </c>
      <c r="F6" s="860">
        <v>0</v>
      </c>
      <c r="G6" s="861">
        <v>0</v>
      </c>
      <c r="H6" s="912">
        <f>SUM(C6:G6)</f>
        <v>0</v>
      </c>
    </row>
    <row r="7" spans="2:11" hidden="1" x14ac:dyDescent="0.2">
      <c r="B7" s="857" t="s">
        <v>696</v>
      </c>
      <c r="C7" s="858"/>
      <c r="D7" s="859"/>
      <c r="E7" s="860"/>
      <c r="F7" s="860"/>
      <c r="G7" s="861"/>
      <c r="H7" s="912">
        <f>SUM(E7:G7)</f>
        <v>0</v>
      </c>
    </row>
    <row r="8" spans="2:11" ht="13.5" thickBot="1" x14ac:dyDescent="0.25">
      <c r="B8" s="862" t="s">
        <v>697</v>
      </c>
      <c r="C8" s="863">
        <v>0</v>
      </c>
      <c r="D8" s="864">
        <v>0</v>
      </c>
      <c r="E8" s="865">
        <v>0</v>
      </c>
      <c r="F8" s="865">
        <v>0</v>
      </c>
      <c r="G8" s="866">
        <v>0</v>
      </c>
      <c r="H8" s="913">
        <f>SUM(C8:G8)</f>
        <v>0</v>
      </c>
    </row>
    <row r="9" spans="2:11" ht="6" customHeight="1" thickBot="1" x14ac:dyDescent="0.25">
      <c r="C9" s="867"/>
    </row>
    <row r="10" spans="2:11" ht="26.25" customHeight="1" x14ac:dyDescent="0.2">
      <c r="B10" s="868" t="s">
        <v>698</v>
      </c>
      <c r="C10" s="844" t="str">
        <f>+C2</f>
        <v>Company</v>
      </c>
      <c r="D10" s="845" t="str">
        <f>+D2</f>
        <v>Name</v>
      </c>
      <c r="E10" s="846" t="str">
        <f>+E2</f>
        <v>Name</v>
      </c>
      <c r="F10" s="846" t="str">
        <f>+F2</f>
        <v>Name</v>
      </c>
      <c r="G10" s="869" t="str">
        <f>+G2</f>
        <v>Name</v>
      </c>
      <c r="H10" s="2285" t="s">
        <v>691</v>
      </c>
    </row>
    <row r="11" spans="2:11" x14ac:dyDescent="0.2">
      <c r="B11" s="848" t="s">
        <v>699</v>
      </c>
      <c r="C11" s="870">
        <v>0</v>
      </c>
      <c r="D11" s="871" t="s">
        <v>700</v>
      </c>
      <c r="E11" s="872" t="s">
        <v>700</v>
      </c>
      <c r="F11" s="872" t="s">
        <v>700</v>
      </c>
      <c r="G11" s="873" t="s">
        <v>700</v>
      </c>
      <c r="H11" s="2286"/>
    </row>
    <row r="12" spans="2:11" x14ac:dyDescent="0.2">
      <c r="B12" s="874" t="s">
        <v>701</v>
      </c>
      <c r="C12" s="875"/>
      <c r="D12" s="876"/>
      <c r="E12" s="877"/>
      <c r="F12" s="877"/>
      <c r="G12" s="878"/>
      <c r="H12" s="879"/>
    </row>
    <row r="13" spans="2:11" x14ac:dyDescent="0.2">
      <c r="B13" s="880" t="s">
        <v>266</v>
      </c>
      <c r="C13" s="875">
        <v>0</v>
      </c>
      <c r="D13" s="881">
        <v>0</v>
      </c>
      <c r="E13" s="882">
        <v>0</v>
      </c>
      <c r="F13" s="882">
        <v>0</v>
      </c>
      <c r="G13" s="883">
        <v>0</v>
      </c>
      <c r="H13" s="914">
        <f>SUM(C13:G13)</f>
        <v>0</v>
      </c>
    </row>
    <row r="14" spans="2:11" x14ac:dyDescent="0.2">
      <c r="B14" s="880" t="s">
        <v>702</v>
      </c>
      <c r="C14" s="875">
        <v>0</v>
      </c>
      <c r="D14" s="881">
        <v>0</v>
      </c>
      <c r="E14" s="882">
        <v>0</v>
      </c>
      <c r="F14" s="882">
        <v>0</v>
      </c>
      <c r="G14" s="883">
        <v>0</v>
      </c>
      <c r="H14" s="914">
        <f>SUM(C14:G14)</f>
        <v>0</v>
      </c>
      <c r="J14" s="940">
        <f>+H14+H13</f>
        <v>0</v>
      </c>
      <c r="K14" s="941" t="e">
        <f>+J14/H27</f>
        <v>#DIV/0!</v>
      </c>
    </row>
    <row r="15" spans="2:11" hidden="1" x14ac:dyDescent="0.2">
      <c r="B15" s="880" t="s">
        <v>703</v>
      </c>
      <c r="C15" s="875">
        <v>0</v>
      </c>
      <c r="D15" s="881">
        <v>0</v>
      </c>
      <c r="E15" s="882">
        <v>0</v>
      </c>
      <c r="F15" s="882">
        <v>0</v>
      </c>
      <c r="G15" s="883">
        <v>0</v>
      </c>
      <c r="H15" s="914">
        <f>SUM(C15:G15)</f>
        <v>0</v>
      </c>
    </row>
    <row r="16" spans="2:11" x14ac:dyDescent="0.2">
      <c r="B16" s="880" t="s">
        <v>704</v>
      </c>
      <c r="C16" s="875">
        <v>0</v>
      </c>
      <c r="D16" s="881">
        <v>0</v>
      </c>
      <c r="E16" s="882">
        <v>0</v>
      </c>
      <c r="F16" s="882">
        <v>0</v>
      </c>
      <c r="G16" s="883">
        <v>0</v>
      </c>
      <c r="H16" s="914">
        <f>SUM(C16:G16)</f>
        <v>0</v>
      </c>
    </row>
    <row r="17" spans="2:8" ht="3" customHeight="1" x14ac:dyDescent="0.2">
      <c r="B17" s="884"/>
      <c r="C17" s="875"/>
      <c r="D17" s="876"/>
      <c r="E17" s="877"/>
      <c r="F17" s="877"/>
      <c r="G17" s="878"/>
      <c r="H17" s="915"/>
    </row>
    <row r="18" spans="2:8" s="847" customFormat="1" x14ac:dyDescent="0.2">
      <c r="B18" s="884" t="s">
        <v>705</v>
      </c>
      <c r="C18" s="885">
        <f>SUM(C13:C16)</f>
        <v>0</v>
      </c>
      <c r="D18" s="921">
        <f>SUM(D13:D16)</f>
        <v>0</v>
      </c>
      <c r="E18" s="922">
        <f>SUM(E13:E16)</f>
        <v>0</v>
      </c>
      <c r="F18" s="922">
        <f>SUM(F13:F16)</f>
        <v>0</v>
      </c>
      <c r="G18" s="923">
        <f>SUM(G13:G16)</f>
        <v>0</v>
      </c>
      <c r="H18" s="916">
        <f t="shared" ref="H18:H26" si="0">SUM(C18:G18)</f>
        <v>0</v>
      </c>
    </row>
    <row r="19" spans="2:8" x14ac:dyDescent="0.2">
      <c r="B19" s="880" t="s">
        <v>706</v>
      </c>
      <c r="C19" s="875">
        <v>0</v>
      </c>
      <c r="D19" s="881">
        <v>0</v>
      </c>
      <c r="E19" s="882">
        <v>0</v>
      </c>
      <c r="F19" s="882">
        <v>0</v>
      </c>
      <c r="G19" s="883">
        <v>0</v>
      </c>
      <c r="H19" s="914">
        <f t="shared" si="0"/>
        <v>0</v>
      </c>
    </row>
    <row r="20" spans="2:8" x14ac:dyDescent="0.2">
      <c r="B20" s="880" t="s">
        <v>703</v>
      </c>
      <c r="C20" s="875">
        <v>0</v>
      </c>
      <c r="D20" s="881">
        <v>0</v>
      </c>
      <c r="E20" s="882">
        <v>0</v>
      </c>
      <c r="F20" s="882">
        <v>0</v>
      </c>
      <c r="G20" s="883">
        <v>0</v>
      </c>
      <c r="H20" s="914">
        <f t="shared" si="0"/>
        <v>0</v>
      </c>
    </row>
    <row r="21" spans="2:8" x14ac:dyDescent="0.2">
      <c r="B21" s="880" t="s">
        <v>707</v>
      </c>
      <c r="C21" s="875">
        <v>0</v>
      </c>
      <c r="D21" s="881">
        <v>0</v>
      </c>
      <c r="E21" s="882">
        <v>0</v>
      </c>
      <c r="F21" s="882">
        <v>0</v>
      </c>
      <c r="G21" s="883">
        <v>0</v>
      </c>
      <c r="H21" s="914">
        <f t="shared" si="0"/>
        <v>0</v>
      </c>
    </row>
    <row r="22" spans="2:8" x14ac:dyDescent="0.2">
      <c r="B22" s="880" t="s">
        <v>708</v>
      </c>
      <c r="C22" s="875">
        <v>0</v>
      </c>
      <c r="D22" s="881">
        <v>0</v>
      </c>
      <c r="E22" s="882">
        <v>0</v>
      </c>
      <c r="F22" s="882">
        <v>0</v>
      </c>
      <c r="G22" s="883">
        <v>0</v>
      </c>
      <c r="H22" s="914">
        <f t="shared" si="0"/>
        <v>0</v>
      </c>
    </row>
    <row r="23" spans="2:8" x14ac:dyDescent="0.2">
      <c r="B23" s="880" t="s">
        <v>709</v>
      </c>
      <c r="C23" s="875">
        <v>0</v>
      </c>
      <c r="D23" s="881">
        <v>0</v>
      </c>
      <c r="E23" s="882">
        <v>0</v>
      </c>
      <c r="F23" s="882">
        <v>0</v>
      </c>
      <c r="G23" s="883">
        <v>0</v>
      </c>
      <c r="H23" s="914">
        <f t="shared" si="0"/>
        <v>0</v>
      </c>
    </row>
    <row r="24" spans="2:8" x14ac:dyDescent="0.2">
      <c r="B24" s="880" t="s">
        <v>710</v>
      </c>
      <c r="C24" s="875">
        <v>0</v>
      </c>
      <c r="D24" s="881">
        <v>0</v>
      </c>
      <c r="E24" s="882">
        <v>0</v>
      </c>
      <c r="F24" s="882">
        <v>0</v>
      </c>
      <c r="G24" s="883">
        <v>0</v>
      </c>
      <c r="H24" s="914">
        <f t="shared" si="0"/>
        <v>0</v>
      </c>
    </row>
    <row r="25" spans="2:8" hidden="1" x14ac:dyDescent="0.2">
      <c r="B25" s="880" t="s">
        <v>711</v>
      </c>
      <c r="C25" s="875">
        <v>0</v>
      </c>
      <c r="D25" s="881">
        <v>0</v>
      </c>
      <c r="E25" s="882">
        <v>0</v>
      </c>
      <c r="F25" s="882">
        <v>0</v>
      </c>
      <c r="G25" s="883">
        <v>0</v>
      </c>
      <c r="H25" s="914">
        <f t="shared" si="0"/>
        <v>0</v>
      </c>
    </row>
    <row r="26" spans="2:8" s="847" customFormat="1" x14ac:dyDescent="0.2">
      <c r="B26" s="884" t="s">
        <v>710</v>
      </c>
      <c r="C26" s="889">
        <f>SUM(C19:C25)</f>
        <v>0</v>
      </c>
      <c r="D26" s="920">
        <f>SUM(D19:D25)</f>
        <v>0</v>
      </c>
      <c r="E26" s="919">
        <f>SUM(E19:E25)</f>
        <v>0</v>
      </c>
      <c r="F26" s="919">
        <f>SUM(F19:F25)</f>
        <v>0</v>
      </c>
      <c r="G26" s="918">
        <f>SUM(G19:G25)</f>
        <v>0</v>
      </c>
      <c r="H26" s="917">
        <f t="shared" si="0"/>
        <v>0</v>
      </c>
    </row>
    <row r="27" spans="2:8" x14ac:dyDescent="0.2">
      <c r="B27" s="884" t="s">
        <v>712</v>
      </c>
      <c r="C27" s="890">
        <f t="shared" ref="C27:H27" si="1">+C18+C26</f>
        <v>0</v>
      </c>
      <c r="D27" s="924">
        <f t="shared" si="1"/>
        <v>0</v>
      </c>
      <c r="E27" s="925">
        <f t="shared" si="1"/>
        <v>0</v>
      </c>
      <c r="F27" s="925">
        <f t="shared" si="1"/>
        <v>0</v>
      </c>
      <c r="G27" s="926">
        <f t="shared" si="1"/>
        <v>0</v>
      </c>
      <c r="H27" s="927">
        <f t="shared" si="1"/>
        <v>0</v>
      </c>
    </row>
    <row r="28" spans="2:8" hidden="1" x14ac:dyDescent="0.2">
      <c r="B28" s="880" t="s">
        <v>713</v>
      </c>
      <c r="C28" s="891">
        <v>0</v>
      </c>
      <c r="D28" s="892">
        <v>0</v>
      </c>
      <c r="E28" s="893">
        <v>0</v>
      </c>
      <c r="F28" s="893">
        <v>0</v>
      </c>
      <c r="G28" s="894">
        <v>0</v>
      </c>
      <c r="H28" s="895">
        <f>SUM(C28:G28)</f>
        <v>0</v>
      </c>
    </row>
    <row r="29" spans="2:8" hidden="1" x14ac:dyDescent="0.2">
      <c r="B29" s="884" t="s">
        <v>714</v>
      </c>
      <c r="C29" s="885">
        <f>+C27-C28</f>
        <v>0</v>
      </c>
      <c r="D29" s="886">
        <f>+D27-D28</f>
        <v>0</v>
      </c>
      <c r="E29" s="887">
        <f>+E27-E28</f>
        <v>0</v>
      </c>
      <c r="F29" s="887">
        <f>+F27-F28</f>
        <v>0</v>
      </c>
      <c r="G29" s="888">
        <f>+G27-G28</f>
        <v>0</v>
      </c>
      <c r="H29" s="896">
        <f>+C29+D29+E29+F29+G29</f>
        <v>0</v>
      </c>
    </row>
    <row r="30" spans="2:8" x14ac:dyDescent="0.2">
      <c r="B30" s="874" t="s">
        <v>715</v>
      </c>
      <c r="C30" s="875"/>
      <c r="D30" s="876"/>
      <c r="E30" s="877"/>
      <c r="F30" s="877"/>
      <c r="G30" s="878"/>
      <c r="H30" s="879"/>
    </row>
    <row r="31" spans="2:8" x14ac:dyDescent="0.2">
      <c r="B31" s="880" t="s">
        <v>716</v>
      </c>
      <c r="C31" s="875">
        <v>0</v>
      </c>
      <c r="D31" s="876">
        <v>0</v>
      </c>
      <c r="E31" s="877">
        <v>0</v>
      </c>
      <c r="F31" s="877">
        <v>0</v>
      </c>
      <c r="G31" s="878">
        <v>0</v>
      </c>
      <c r="H31" s="915">
        <f>SUM(C31:G31)</f>
        <v>0</v>
      </c>
    </row>
    <row r="32" spans="2:8" x14ac:dyDescent="0.2">
      <c r="B32" s="880" t="s">
        <v>717</v>
      </c>
      <c r="C32" s="875">
        <v>0</v>
      </c>
      <c r="D32" s="876">
        <v>0</v>
      </c>
      <c r="E32" s="877">
        <v>0</v>
      </c>
      <c r="F32" s="877">
        <v>0</v>
      </c>
      <c r="G32" s="878">
        <v>0</v>
      </c>
      <c r="H32" s="915">
        <f>SUM(C32:G32)</f>
        <v>0</v>
      </c>
    </row>
    <row r="33" spans="2:10" x14ac:dyDescent="0.2">
      <c r="B33" s="880" t="s">
        <v>718</v>
      </c>
      <c r="C33" s="891">
        <v>0</v>
      </c>
      <c r="D33" s="897">
        <v>0</v>
      </c>
      <c r="E33" s="898">
        <v>0</v>
      </c>
      <c r="F33" s="898">
        <v>0</v>
      </c>
      <c r="G33" s="899">
        <v>0</v>
      </c>
      <c r="H33" s="915">
        <f>SUM(C33:G33)</f>
        <v>0</v>
      </c>
    </row>
    <row r="34" spans="2:10" ht="13.5" thickBot="1" x14ac:dyDescent="0.25">
      <c r="B34" s="884" t="s">
        <v>719</v>
      </c>
      <c r="C34" s="900">
        <f t="shared" ref="C34:H34" si="2">SUM(C31:C33)</f>
        <v>0</v>
      </c>
      <c r="D34" s="928">
        <f t="shared" si="2"/>
        <v>0</v>
      </c>
      <c r="E34" s="929">
        <f t="shared" si="2"/>
        <v>0</v>
      </c>
      <c r="F34" s="929">
        <f t="shared" si="2"/>
        <v>0</v>
      </c>
      <c r="G34" s="930">
        <f t="shared" si="2"/>
        <v>0</v>
      </c>
      <c r="H34" s="931">
        <f t="shared" si="2"/>
        <v>0</v>
      </c>
    </row>
    <row r="35" spans="2:10" ht="13.5" thickTop="1" x14ac:dyDescent="0.2">
      <c r="B35" s="884" t="s">
        <v>720</v>
      </c>
      <c r="C35" s="901">
        <f t="shared" ref="C35:H35" si="3">+C29-C34</f>
        <v>0</v>
      </c>
      <c r="D35" s="932">
        <f t="shared" si="3"/>
        <v>0</v>
      </c>
      <c r="E35" s="933">
        <f t="shared" si="3"/>
        <v>0</v>
      </c>
      <c r="F35" s="933">
        <f t="shared" si="3"/>
        <v>0</v>
      </c>
      <c r="G35" s="934">
        <f t="shared" si="3"/>
        <v>0</v>
      </c>
      <c r="H35" s="935">
        <f t="shared" si="3"/>
        <v>0</v>
      </c>
      <c r="J35" s="940">
        <f>+H35-H23</f>
        <v>0</v>
      </c>
    </row>
    <row r="36" spans="2:10" ht="13.5" thickBot="1" x14ac:dyDescent="0.25">
      <c r="B36" s="902" t="s">
        <v>182</v>
      </c>
      <c r="C36" s="903" t="e">
        <f t="shared" ref="C36:H36" si="4">+C34/C35</f>
        <v>#DIV/0!</v>
      </c>
      <c r="D36" s="936" t="e">
        <f t="shared" si="4"/>
        <v>#DIV/0!</v>
      </c>
      <c r="E36" s="937" t="e">
        <f t="shared" si="4"/>
        <v>#DIV/0!</v>
      </c>
      <c r="F36" s="937" t="e">
        <f t="shared" si="4"/>
        <v>#DIV/0!</v>
      </c>
      <c r="G36" s="938" t="e">
        <f t="shared" si="4"/>
        <v>#DIV/0!</v>
      </c>
      <c r="H36" s="939" t="e">
        <f t="shared" si="4"/>
        <v>#DIV/0!</v>
      </c>
    </row>
    <row r="37" spans="2:10" ht="6" customHeight="1" thickBot="1" x14ac:dyDescent="0.25">
      <c r="C37" s="904"/>
      <c r="D37" s="905"/>
      <c r="E37" s="905"/>
      <c r="F37" s="905"/>
      <c r="G37" s="905"/>
    </row>
    <row r="38" spans="2:10" s="847" customFormat="1" ht="13.5" thickBot="1" x14ac:dyDescent="0.25">
      <c r="B38" s="906" t="s">
        <v>721</v>
      </c>
      <c r="C38" s="907" t="s">
        <v>627</v>
      </c>
      <c r="D38" s="908"/>
      <c r="E38" s="909"/>
      <c r="F38" s="909"/>
      <c r="G38" s="910"/>
    </row>
    <row r="39" spans="2:10" x14ac:dyDescent="0.2">
      <c r="C39" s="905"/>
    </row>
  </sheetData>
  <sheetProtection formatCells="0" formatColumns="0" formatRows="0" insertColumns="0" insertRows="0"/>
  <mergeCells count="2">
    <mergeCell ref="H2:H3"/>
    <mergeCell ref="H10:H1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F1C0-ADF3-41E9-91A5-6A52AD0E8B4D}">
  <sheetPr>
    <pageSetUpPr fitToPage="1"/>
  </sheetPr>
  <dimension ref="B1:R51"/>
  <sheetViews>
    <sheetView showGridLines="0" zoomScaleNormal="100" workbookViewId="0">
      <selection activeCell="C6" sqref="C6"/>
    </sheetView>
  </sheetViews>
  <sheetFormatPr defaultColWidth="9.140625" defaultRowHeight="12" x14ac:dyDescent="0.2"/>
  <cols>
    <col min="1" max="1" width="1.7109375" style="106" customWidth="1"/>
    <col min="2" max="2" width="20.7109375" style="106" customWidth="1"/>
    <col min="3" max="3" width="11.7109375" style="106" customWidth="1"/>
    <col min="4" max="4" width="6" style="106" customWidth="1"/>
    <col min="5" max="5" width="11.140625" style="106" bestFit="1" customWidth="1"/>
    <col min="6" max="7" width="8.140625" style="106" customWidth="1"/>
    <col min="8" max="8" width="8.42578125" style="106" bestFit="1" customWidth="1"/>
    <col min="9" max="11" width="4.28515625" style="106" customWidth="1"/>
    <col min="12" max="14" width="6" style="106" customWidth="1"/>
    <col min="15" max="15" width="9" style="106" bestFit="1" customWidth="1"/>
    <col min="16" max="16" width="8.42578125" style="106" customWidth="1"/>
    <col min="17" max="17" width="9" style="106" bestFit="1" customWidth="1"/>
    <col min="18" max="18" width="8.42578125" style="106" customWidth="1"/>
    <col min="19" max="16384" width="9.140625" style="106"/>
  </cols>
  <sheetData>
    <row r="1" spans="2:18" ht="9.9499999999999993" customHeight="1" x14ac:dyDescent="0.2"/>
    <row r="2" spans="2:18" x14ac:dyDescent="0.2">
      <c r="B2" s="942" t="s">
        <v>722</v>
      </c>
      <c r="C2" s="943"/>
      <c r="D2" s="944"/>
      <c r="E2" s="944"/>
      <c r="F2" s="944"/>
      <c r="G2" s="944"/>
      <c r="H2" s="944"/>
      <c r="I2" s="944"/>
      <c r="J2" s="944"/>
      <c r="K2" s="944"/>
      <c r="L2" s="944"/>
      <c r="M2" s="944"/>
      <c r="N2" s="944"/>
      <c r="O2" s="944"/>
      <c r="P2" s="944"/>
      <c r="Q2" s="944"/>
      <c r="R2" s="945"/>
    </row>
    <row r="3" spans="2:18" s="110" customFormat="1" ht="12" customHeight="1" x14ac:dyDescent="0.2">
      <c r="B3" s="946"/>
      <c r="C3" s="947"/>
      <c r="D3" s="948" t="s">
        <v>723</v>
      </c>
      <c r="E3" s="949" t="s">
        <v>514</v>
      </c>
      <c r="F3" s="2287" t="s">
        <v>515</v>
      </c>
      <c r="G3" s="2288"/>
      <c r="H3" s="950" t="s">
        <v>724</v>
      </c>
      <c r="I3" s="2287" t="s">
        <v>725</v>
      </c>
      <c r="J3" s="2289"/>
      <c r="K3" s="2288"/>
      <c r="L3" s="947"/>
      <c r="M3" s="947"/>
      <c r="N3" s="947"/>
      <c r="O3" s="2290" t="s">
        <v>726</v>
      </c>
      <c r="P3" s="2291"/>
      <c r="Q3" s="2290" t="s">
        <v>727</v>
      </c>
      <c r="R3" s="2291"/>
    </row>
    <row r="4" spans="2:18" s="957" customFormat="1" ht="12" customHeight="1" x14ac:dyDescent="0.2">
      <c r="B4" s="951" t="s">
        <v>310</v>
      </c>
      <c r="C4" s="952" t="s">
        <v>728</v>
      </c>
      <c r="D4" s="953" t="s">
        <v>729</v>
      </c>
      <c r="E4" s="954" t="s">
        <v>520</v>
      </c>
      <c r="F4" s="955" t="s">
        <v>521</v>
      </c>
      <c r="G4" s="954" t="s">
        <v>522</v>
      </c>
      <c r="H4" s="956" t="s">
        <v>523</v>
      </c>
      <c r="I4" s="955" t="s">
        <v>730</v>
      </c>
      <c r="J4" s="953" t="s">
        <v>731</v>
      </c>
      <c r="K4" s="954" t="s">
        <v>732</v>
      </c>
      <c r="L4" s="955" t="s">
        <v>524</v>
      </c>
      <c r="M4" s="953" t="s">
        <v>525</v>
      </c>
      <c r="N4" s="954" t="s">
        <v>240</v>
      </c>
      <c r="O4" s="955" t="s">
        <v>725</v>
      </c>
      <c r="P4" s="954" t="s">
        <v>524</v>
      </c>
      <c r="Q4" s="955" t="s">
        <v>725</v>
      </c>
      <c r="R4" s="954" t="s">
        <v>524</v>
      </c>
    </row>
    <row r="5" spans="2:18" x14ac:dyDescent="0.2">
      <c r="B5" s="958" t="s">
        <v>733</v>
      </c>
      <c r="C5" s="349" t="s">
        <v>734</v>
      </c>
      <c r="D5" s="356" t="s">
        <v>735</v>
      </c>
      <c r="E5" s="959" t="s">
        <v>736</v>
      </c>
      <c r="F5" s="960">
        <v>5</v>
      </c>
      <c r="G5" s="959">
        <v>3</v>
      </c>
      <c r="H5" s="356">
        <v>3</v>
      </c>
      <c r="I5" s="960">
        <v>2</v>
      </c>
      <c r="J5" s="356">
        <v>0</v>
      </c>
      <c r="K5" s="959">
        <v>0</v>
      </c>
      <c r="L5" s="356">
        <v>17</v>
      </c>
      <c r="M5" s="356">
        <v>0</v>
      </c>
      <c r="N5" s="1027">
        <f t="shared" ref="N5:N23" si="0">SUM(H5:M5)</f>
        <v>22</v>
      </c>
      <c r="O5" s="1028">
        <f t="shared" ref="O5:O23" si="1">+G5/12</f>
        <v>0.25</v>
      </c>
      <c r="P5" s="1029">
        <f t="shared" ref="P5:P23" si="2">+F5/12</f>
        <v>0.41666666666666669</v>
      </c>
      <c r="Q5" s="1036">
        <f t="shared" ref="Q5:Q23" si="3">(+I5+J5+K5)/O5</f>
        <v>8</v>
      </c>
      <c r="R5" s="1037">
        <f t="shared" ref="R5:R23" si="4">+L5/P5</f>
        <v>40.799999999999997</v>
      </c>
    </row>
    <row r="6" spans="2:18" s="349" customFormat="1" x14ac:dyDescent="0.2">
      <c r="B6" s="958" t="s">
        <v>737</v>
      </c>
      <c r="C6" s="349" t="s">
        <v>734</v>
      </c>
      <c r="D6" s="356" t="s">
        <v>738</v>
      </c>
      <c r="E6" s="959" t="s">
        <v>739</v>
      </c>
      <c r="F6" s="960">
        <v>8</v>
      </c>
      <c r="G6" s="959">
        <v>1</v>
      </c>
      <c r="H6" s="356">
        <v>1</v>
      </c>
      <c r="I6" s="960">
        <v>2</v>
      </c>
      <c r="J6" s="356">
        <v>2</v>
      </c>
      <c r="K6" s="959">
        <v>3</v>
      </c>
      <c r="L6" s="356">
        <v>17</v>
      </c>
      <c r="M6" s="356">
        <v>0</v>
      </c>
      <c r="N6" s="1027">
        <f t="shared" si="0"/>
        <v>25</v>
      </c>
      <c r="O6" s="1028">
        <f t="shared" si="1"/>
        <v>8.3333333333333329E-2</v>
      </c>
      <c r="P6" s="1029">
        <f t="shared" si="2"/>
        <v>0.66666666666666663</v>
      </c>
      <c r="Q6" s="1036">
        <f t="shared" si="3"/>
        <v>84</v>
      </c>
      <c r="R6" s="1037">
        <f t="shared" si="4"/>
        <v>25.5</v>
      </c>
    </row>
    <row r="7" spans="2:18" s="349" customFormat="1" x14ac:dyDescent="0.2">
      <c r="B7" s="958" t="s">
        <v>740</v>
      </c>
      <c r="C7" s="349" t="s">
        <v>741</v>
      </c>
      <c r="D7" s="356" t="s">
        <v>742</v>
      </c>
      <c r="E7" s="959" t="s">
        <v>743</v>
      </c>
      <c r="F7" s="960">
        <v>0</v>
      </c>
      <c r="G7" s="959">
        <v>0</v>
      </c>
      <c r="H7" s="356">
        <v>0</v>
      </c>
      <c r="I7" s="960">
        <v>0</v>
      </c>
      <c r="J7" s="356">
        <v>0</v>
      </c>
      <c r="K7" s="959">
        <v>0</v>
      </c>
      <c r="L7" s="356">
        <v>26</v>
      </c>
      <c r="M7" s="356">
        <v>0</v>
      </c>
      <c r="N7" s="1027">
        <f t="shared" si="0"/>
        <v>26</v>
      </c>
      <c r="O7" s="1028">
        <f t="shared" si="1"/>
        <v>0</v>
      </c>
      <c r="P7" s="1029">
        <f t="shared" si="2"/>
        <v>0</v>
      </c>
      <c r="Q7" s="1036" t="e">
        <f t="shared" ref="Q7" si="5">(+I7+J7+K7)/O7</f>
        <v>#DIV/0!</v>
      </c>
      <c r="R7" s="1037" t="e">
        <f t="shared" ref="R7" si="6">+L7/P7</f>
        <v>#DIV/0!</v>
      </c>
    </row>
    <row r="8" spans="2:18" s="349" customFormat="1" x14ac:dyDescent="0.2">
      <c r="B8" s="958" t="s">
        <v>744</v>
      </c>
      <c r="C8" s="349" t="s">
        <v>745</v>
      </c>
      <c r="D8" s="356" t="s">
        <v>746</v>
      </c>
      <c r="E8" s="959" t="s">
        <v>747</v>
      </c>
      <c r="F8" s="960">
        <v>30</v>
      </c>
      <c r="G8" s="959">
        <v>23</v>
      </c>
      <c r="H8" s="356">
        <v>23</v>
      </c>
      <c r="I8" s="960">
        <v>1</v>
      </c>
      <c r="J8" s="356">
        <v>10</v>
      </c>
      <c r="K8" s="959">
        <v>13</v>
      </c>
      <c r="L8" s="356">
        <v>6</v>
      </c>
      <c r="M8" s="356">
        <v>0</v>
      </c>
      <c r="N8" s="1027">
        <f t="shared" si="0"/>
        <v>53</v>
      </c>
      <c r="O8" s="1028">
        <f t="shared" si="1"/>
        <v>1.9166666666666667</v>
      </c>
      <c r="P8" s="1029">
        <f t="shared" si="2"/>
        <v>2.5</v>
      </c>
      <c r="Q8" s="1036">
        <f t="shared" si="3"/>
        <v>12.521739130434781</v>
      </c>
      <c r="R8" s="1037">
        <f t="shared" si="4"/>
        <v>2.4</v>
      </c>
    </row>
    <row r="9" spans="2:18" s="349" customFormat="1" x14ac:dyDescent="0.2">
      <c r="B9" s="958" t="s">
        <v>748</v>
      </c>
      <c r="C9" s="349" t="s">
        <v>745</v>
      </c>
      <c r="D9" s="356" t="s">
        <v>746</v>
      </c>
      <c r="E9" s="959" t="s">
        <v>749</v>
      </c>
      <c r="F9" s="960">
        <v>7</v>
      </c>
      <c r="G9" s="959">
        <v>27</v>
      </c>
      <c r="H9" s="356">
        <v>43</v>
      </c>
      <c r="I9" s="960">
        <v>3</v>
      </c>
      <c r="J9" s="356">
        <v>0</v>
      </c>
      <c r="K9" s="959">
        <v>0</v>
      </c>
      <c r="L9" s="356">
        <v>0</v>
      </c>
      <c r="M9" s="356">
        <v>0</v>
      </c>
      <c r="N9" s="1027">
        <f t="shared" ref="N9:N10" si="7">SUM(H9:M9)</f>
        <v>46</v>
      </c>
      <c r="O9" s="1028">
        <f t="shared" si="1"/>
        <v>2.25</v>
      </c>
      <c r="P9" s="1029">
        <f t="shared" si="2"/>
        <v>0.58333333333333337</v>
      </c>
      <c r="Q9" s="1036">
        <f t="shared" si="3"/>
        <v>1.3333333333333333</v>
      </c>
      <c r="R9" s="1037">
        <f t="shared" si="4"/>
        <v>0</v>
      </c>
    </row>
    <row r="10" spans="2:18" s="349" customFormat="1" x14ac:dyDescent="0.2">
      <c r="B10" s="958" t="s">
        <v>750</v>
      </c>
      <c r="C10" s="349" t="s">
        <v>745</v>
      </c>
      <c r="D10" s="356" t="s">
        <v>751</v>
      </c>
      <c r="E10" s="959" t="s">
        <v>752</v>
      </c>
      <c r="F10" s="960">
        <v>3</v>
      </c>
      <c r="G10" s="959">
        <v>30</v>
      </c>
      <c r="H10" s="356">
        <v>84</v>
      </c>
      <c r="I10" s="960">
        <v>4</v>
      </c>
      <c r="J10" s="356">
        <v>0</v>
      </c>
      <c r="K10" s="959">
        <v>0</v>
      </c>
      <c r="L10" s="356">
        <v>0</v>
      </c>
      <c r="M10" s="356">
        <v>0</v>
      </c>
      <c r="N10" s="1027">
        <f t="shared" si="7"/>
        <v>88</v>
      </c>
      <c r="O10" s="1028">
        <f t="shared" si="1"/>
        <v>2.5</v>
      </c>
      <c r="P10" s="1029">
        <f t="shared" si="2"/>
        <v>0.25</v>
      </c>
      <c r="Q10" s="1036">
        <f t="shared" si="3"/>
        <v>1.6</v>
      </c>
      <c r="R10" s="1037">
        <f t="shared" si="4"/>
        <v>0</v>
      </c>
    </row>
    <row r="11" spans="2:18" s="349" customFormat="1" x14ac:dyDescent="0.2">
      <c r="B11" s="958" t="s">
        <v>753</v>
      </c>
      <c r="C11" s="349" t="s">
        <v>745</v>
      </c>
      <c r="D11" s="356" t="s">
        <v>751</v>
      </c>
      <c r="E11" s="959" t="s">
        <v>754</v>
      </c>
      <c r="F11" s="960">
        <v>54</v>
      </c>
      <c r="G11" s="959">
        <v>21</v>
      </c>
      <c r="H11" s="356">
        <v>21</v>
      </c>
      <c r="I11" s="960">
        <v>0</v>
      </c>
      <c r="J11" s="356">
        <v>0</v>
      </c>
      <c r="K11" s="959">
        <v>33</v>
      </c>
      <c r="L11" s="356">
        <v>38</v>
      </c>
      <c r="M11" s="356">
        <v>0</v>
      </c>
      <c r="N11" s="1027">
        <f t="shared" ref="N11" si="8">SUM(H11:M11)</f>
        <v>92</v>
      </c>
      <c r="O11" s="1028">
        <f t="shared" si="1"/>
        <v>1.75</v>
      </c>
      <c r="P11" s="1029">
        <f t="shared" si="2"/>
        <v>4.5</v>
      </c>
      <c r="Q11" s="1036">
        <f t="shared" si="3"/>
        <v>18.857142857142858</v>
      </c>
      <c r="R11" s="1037">
        <f t="shared" si="4"/>
        <v>8.4444444444444446</v>
      </c>
    </row>
    <row r="12" spans="2:18" s="349" customFormat="1" x14ac:dyDescent="0.2">
      <c r="B12" s="958" t="s">
        <v>753</v>
      </c>
      <c r="C12" s="349" t="s">
        <v>745</v>
      </c>
      <c r="D12" s="356"/>
      <c r="E12" s="959" t="s">
        <v>755</v>
      </c>
      <c r="F12" s="960">
        <v>15</v>
      </c>
      <c r="G12" s="959">
        <v>0</v>
      </c>
      <c r="H12" s="356">
        <v>0</v>
      </c>
      <c r="I12" s="960">
        <v>0</v>
      </c>
      <c r="J12" s="356">
        <v>2</v>
      </c>
      <c r="K12" s="959">
        <v>13</v>
      </c>
      <c r="L12" s="356">
        <v>26</v>
      </c>
      <c r="M12" s="356">
        <v>0</v>
      </c>
      <c r="N12" s="1027">
        <f t="shared" ref="N12" si="9">SUM(H12:M12)</f>
        <v>41</v>
      </c>
      <c r="O12" s="1028">
        <f t="shared" si="1"/>
        <v>0</v>
      </c>
      <c r="P12" s="1029">
        <f t="shared" si="2"/>
        <v>1.25</v>
      </c>
      <c r="Q12" s="1036" t="e">
        <f t="shared" ref="Q12:Q13" si="10">(+I12+J12+K12)/O12</f>
        <v>#DIV/0!</v>
      </c>
      <c r="R12" s="1037">
        <f t="shared" ref="R12:R13" si="11">+L12/P12</f>
        <v>20.8</v>
      </c>
    </row>
    <row r="13" spans="2:18" s="349" customFormat="1" x14ac:dyDescent="0.2">
      <c r="B13" s="958" t="s">
        <v>756</v>
      </c>
      <c r="C13" s="349" t="s">
        <v>757</v>
      </c>
      <c r="D13" s="356" t="s">
        <v>751</v>
      </c>
      <c r="E13" s="959" t="s">
        <v>758</v>
      </c>
      <c r="F13" s="960">
        <v>0</v>
      </c>
      <c r="G13" s="959">
        <v>0</v>
      </c>
      <c r="H13" s="356">
        <v>0</v>
      </c>
      <c r="I13" s="960">
        <v>0</v>
      </c>
      <c r="J13" s="356">
        <v>0</v>
      </c>
      <c r="K13" s="959">
        <v>0</v>
      </c>
      <c r="L13" s="356">
        <v>0</v>
      </c>
      <c r="M13" s="356">
        <v>99</v>
      </c>
      <c r="N13" s="1027">
        <f t="shared" si="0"/>
        <v>99</v>
      </c>
      <c r="O13" s="1028">
        <f t="shared" si="1"/>
        <v>0</v>
      </c>
      <c r="P13" s="1029">
        <f t="shared" si="2"/>
        <v>0</v>
      </c>
      <c r="Q13" s="1036" t="e">
        <f t="shared" si="10"/>
        <v>#DIV/0!</v>
      </c>
      <c r="R13" s="1037" t="e">
        <f t="shared" si="11"/>
        <v>#DIV/0!</v>
      </c>
    </row>
    <row r="14" spans="2:18" s="349" customFormat="1" hidden="1" x14ac:dyDescent="0.2">
      <c r="B14" s="965"/>
      <c r="D14" s="966"/>
      <c r="E14" s="959"/>
      <c r="F14" s="960"/>
      <c r="G14" s="959"/>
      <c r="H14" s="356"/>
      <c r="I14" s="960"/>
      <c r="J14" s="356"/>
      <c r="K14" s="959"/>
      <c r="L14" s="356"/>
      <c r="M14" s="356"/>
      <c r="N14" s="356">
        <f t="shared" ref="N14" si="12">SUM(H14:M14)</f>
        <v>0</v>
      </c>
      <c r="O14" s="961">
        <f t="shared" si="1"/>
        <v>0</v>
      </c>
      <c r="P14" s="962">
        <f t="shared" si="2"/>
        <v>0</v>
      </c>
      <c r="Q14" s="963" t="e">
        <f t="shared" ref="Q14" si="13">(+I14+J14+K14)/O14</f>
        <v>#DIV/0!</v>
      </c>
      <c r="R14" s="964" t="e">
        <f t="shared" ref="R14" si="14">+L14/P14</f>
        <v>#DIV/0!</v>
      </c>
    </row>
    <row r="15" spans="2:18" s="349" customFormat="1" hidden="1" x14ac:dyDescent="0.2">
      <c r="B15" s="965"/>
      <c r="D15" s="356"/>
      <c r="E15" s="959"/>
      <c r="F15" s="960"/>
      <c r="G15" s="959"/>
      <c r="H15" s="356"/>
      <c r="I15" s="960"/>
      <c r="J15" s="356"/>
      <c r="K15" s="959"/>
      <c r="L15" s="356"/>
      <c r="M15" s="356"/>
      <c r="N15" s="356">
        <f t="shared" si="0"/>
        <v>0</v>
      </c>
      <c r="O15" s="961">
        <f t="shared" si="1"/>
        <v>0</v>
      </c>
      <c r="P15" s="962">
        <f t="shared" si="2"/>
        <v>0</v>
      </c>
      <c r="Q15" s="963" t="e">
        <f t="shared" si="3"/>
        <v>#DIV/0!</v>
      </c>
      <c r="R15" s="964" t="e">
        <f t="shared" si="4"/>
        <v>#DIV/0!</v>
      </c>
    </row>
    <row r="16" spans="2:18" s="349" customFormat="1" hidden="1" x14ac:dyDescent="0.2">
      <c r="B16" s="965"/>
      <c r="D16" s="356"/>
      <c r="E16" s="959"/>
      <c r="F16" s="960"/>
      <c r="G16" s="959"/>
      <c r="H16" s="356"/>
      <c r="I16" s="960"/>
      <c r="J16" s="356"/>
      <c r="K16" s="959"/>
      <c r="L16" s="356"/>
      <c r="M16" s="356"/>
      <c r="N16" s="356">
        <f t="shared" si="0"/>
        <v>0</v>
      </c>
      <c r="O16" s="961">
        <f t="shared" si="1"/>
        <v>0</v>
      </c>
      <c r="P16" s="962">
        <f t="shared" si="2"/>
        <v>0</v>
      </c>
      <c r="Q16" s="963" t="e">
        <f t="shared" si="3"/>
        <v>#DIV/0!</v>
      </c>
      <c r="R16" s="964" t="e">
        <f t="shared" si="4"/>
        <v>#DIV/0!</v>
      </c>
    </row>
    <row r="17" spans="2:18" s="349" customFormat="1" hidden="1" x14ac:dyDescent="0.2">
      <c r="B17" s="965"/>
      <c r="D17" s="356"/>
      <c r="E17" s="959"/>
      <c r="F17" s="960"/>
      <c r="G17" s="959"/>
      <c r="H17" s="356"/>
      <c r="I17" s="960"/>
      <c r="J17" s="356"/>
      <c r="K17" s="959"/>
      <c r="L17" s="356"/>
      <c r="M17" s="356"/>
      <c r="N17" s="356">
        <f t="shared" si="0"/>
        <v>0</v>
      </c>
      <c r="O17" s="961">
        <f t="shared" si="1"/>
        <v>0</v>
      </c>
      <c r="P17" s="962">
        <f t="shared" si="2"/>
        <v>0</v>
      </c>
      <c r="Q17" s="963" t="e">
        <f t="shared" si="3"/>
        <v>#DIV/0!</v>
      </c>
      <c r="R17" s="964" t="e">
        <f t="shared" si="4"/>
        <v>#DIV/0!</v>
      </c>
    </row>
    <row r="18" spans="2:18" hidden="1" x14ac:dyDescent="0.2">
      <c r="B18" s="967" t="s">
        <v>405</v>
      </c>
      <c r="C18" s="106" t="s">
        <v>405</v>
      </c>
      <c r="D18" s="107">
        <v>0</v>
      </c>
      <c r="E18" s="968">
        <v>0</v>
      </c>
      <c r="F18" s="969">
        <v>0</v>
      </c>
      <c r="G18" s="968">
        <v>0</v>
      </c>
      <c r="H18" s="107">
        <v>0</v>
      </c>
      <c r="I18" s="969">
        <v>0</v>
      </c>
      <c r="J18" s="107">
        <v>0</v>
      </c>
      <c r="K18" s="968">
        <v>0</v>
      </c>
      <c r="L18" s="107">
        <v>0</v>
      </c>
      <c r="M18" s="107">
        <v>0</v>
      </c>
      <c r="N18" s="107">
        <f t="shared" si="0"/>
        <v>0</v>
      </c>
      <c r="O18" s="970">
        <f t="shared" si="1"/>
        <v>0</v>
      </c>
      <c r="P18" s="971">
        <f t="shared" si="2"/>
        <v>0</v>
      </c>
      <c r="Q18" s="972" t="e">
        <f t="shared" si="3"/>
        <v>#DIV/0!</v>
      </c>
      <c r="R18" s="973" t="e">
        <f t="shared" si="4"/>
        <v>#DIV/0!</v>
      </c>
    </row>
    <row r="19" spans="2:18" hidden="1" x14ac:dyDescent="0.2">
      <c r="B19" s="967" t="s">
        <v>405</v>
      </c>
      <c r="C19" s="106" t="s">
        <v>405</v>
      </c>
      <c r="D19" s="107">
        <v>0</v>
      </c>
      <c r="E19" s="968">
        <v>0</v>
      </c>
      <c r="F19" s="969">
        <v>0</v>
      </c>
      <c r="G19" s="968">
        <v>0</v>
      </c>
      <c r="H19" s="107">
        <v>0</v>
      </c>
      <c r="I19" s="969">
        <v>0</v>
      </c>
      <c r="J19" s="107">
        <v>0</v>
      </c>
      <c r="K19" s="968">
        <v>0</v>
      </c>
      <c r="L19" s="107">
        <v>0</v>
      </c>
      <c r="M19" s="107">
        <v>0</v>
      </c>
      <c r="N19" s="107">
        <f t="shared" si="0"/>
        <v>0</v>
      </c>
      <c r="O19" s="970">
        <f t="shared" si="1"/>
        <v>0</v>
      </c>
      <c r="P19" s="971">
        <f t="shared" si="2"/>
        <v>0</v>
      </c>
      <c r="Q19" s="972" t="e">
        <f t="shared" si="3"/>
        <v>#DIV/0!</v>
      </c>
      <c r="R19" s="973" t="e">
        <f t="shared" si="4"/>
        <v>#DIV/0!</v>
      </c>
    </row>
    <row r="20" spans="2:18" hidden="1" x14ac:dyDescent="0.2">
      <c r="B20" s="967" t="s">
        <v>405</v>
      </c>
      <c r="C20" s="106" t="s">
        <v>405</v>
      </c>
      <c r="D20" s="107">
        <v>0</v>
      </c>
      <c r="E20" s="968">
        <v>0</v>
      </c>
      <c r="F20" s="969">
        <v>0</v>
      </c>
      <c r="G20" s="968">
        <v>0</v>
      </c>
      <c r="H20" s="107">
        <v>0</v>
      </c>
      <c r="I20" s="969">
        <v>0</v>
      </c>
      <c r="J20" s="107">
        <v>0</v>
      </c>
      <c r="K20" s="968">
        <v>0</v>
      </c>
      <c r="L20" s="107">
        <v>0</v>
      </c>
      <c r="M20" s="107">
        <v>0</v>
      </c>
      <c r="N20" s="107">
        <f t="shared" si="0"/>
        <v>0</v>
      </c>
      <c r="O20" s="970">
        <f t="shared" si="1"/>
        <v>0</v>
      </c>
      <c r="P20" s="971">
        <f t="shared" si="2"/>
        <v>0</v>
      </c>
      <c r="Q20" s="972" t="e">
        <f t="shared" si="3"/>
        <v>#DIV/0!</v>
      </c>
      <c r="R20" s="973" t="e">
        <f t="shared" si="4"/>
        <v>#DIV/0!</v>
      </c>
    </row>
    <row r="21" spans="2:18" hidden="1" x14ac:dyDescent="0.2">
      <c r="B21" s="967" t="s">
        <v>405</v>
      </c>
      <c r="C21" s="106" t="s">
        <v>405</v>
      </c>
      <c r="D21" s="107">
        <v>0</v>
      </c>
      <c r="E21" s="968">
        <v>0</v>
      </c>
      <c r="F21" s="969">
        <v>0</v>
      </c>
      <c r="G21" s="968">
        <v>0</v>
      </c>
      <c r="H21" s="107">
        <v>0</v>
      </c>
      <c r="I21" s="969">
        <v>0</v>
      </c>
      <c r="J21" s="107">
        <v>0</v>
      </c>
      <c r="K21" s="968">
        <v>0</v>
      </c>
      <c r="L21" s="107">
        <v>0</v>
      </c>
      <c r="M21" s="107">
        <v>0</v>
      </c>
      <c r="N21" s="107">
        <f t="shared" si="0"/>
        <v>0</v>
      </c>
      <c r="O21" s="970">
        <f t="shared" si="1"/>
        <v>0</v>
      </c>
      <c r="P21" s="971">
        <f t="shared" si="2"/>
        <v>0</v>
      </c>
      <c r="Q21" s="972" t="e">
        <f t="shared" si="3"/>
        <v>#DIV/0!</v>
      </c>
      <c r="R21" s="973" t="e">
        <f t="shared" si="4"/>
        <v>#DIV/0!</v>
      </c>
    </row>
    <row r="22" spans="2:18" hidden="1" x14ac:dyDescent="0.2">
      <c r="B22" s="974" t="s">
        <v>405</v>
      </c>
      <c r="C22" s="184" t="s">
        <v>405</v>
      </c>
      <c r="D22" s="975">
        <v>0</v>
      </c>
      <c r="E22" s="976">
        <v>0</v>
      </c>
      <c r="F22" s="969">
        <v>0</v>
      </c>
      <c r="G22" s="968">
        <v>0</v>
      </c>
      <c r="H22" s="107">
        <v>0</v>
      </c>
      <c r="I22" s="969">
        <v>0</v>
      </c>
      <c r="J22" s="107">
        <v>0</v>
      </c>
      <c r="K22" s="968">
        <v>0</v>
      </c>
      <c r="L22" s="107">
        <v>0</v>
      </c>
      <c r="M22" s="107">
        <v>0</v>
      </c>
      <c r="N22" s="107">
        <f t="shared" si="0"/>
        <v>0</v>
      </c>
      <c r="O22" s="970">
        <f t="shared" si="1"/>
        <v>0</v>
      </c>
      <c r="P22" s="971">
        <f t="shared" si="2"/>
        <v>0</v>
      </c>
      <c r="Q22" s="972" t="e">
        <f t="shared" si="3"/>
        <v>#DIV/0!</v>
      </c>
      <c r="R22" s="973" t="e">
        <f t="shared" si="4"/>
        <v>#DIV/0!</v>
      </c>
    </row>
    <row r="23" spans="2:18" x14ac:dyDescent="0.2">
      <c r="B23" s="977"/>
      <c r="C23" s="184"/>
      <c r="D23" s="978"/>
      <c r="E23" s="979" t="s">
        <v>759</v>
      </c>
      <c r="F23" s="1019">
        <f t="shared" ref="F23:M23" si="15">SUM(F5:F22)</f>
        <v>122</v>
      </c>
      <c r="G23" s="1020">
        <f t="shared" si="15"/>
        <v>105</v>
      </c>
      <c r="H23" s="1022">
        <f t="shared" si="15"/>
        <v>175</v>
      </c>
      <c r="I23" s="1019">
        <f t="shared" si="15"/>
        <v>12</v>
      </c>
      <c r="J23" s="1022">
        <f t="shared" si="15"/>
        <v>14</v>
      </c>
      <c r="K23" s="1020">
        <f t="shared" si="15"/>
        <v>62</v>
      </c>
      <c r="L23" s="1022">
        <f t="shared" si="15"/>
        <v>130</v>
      </c>
      <c r="M23" s="1022">
        <f t="shared" si="15"/>
        <v>99</v>
      </c>
      <c r="N23" s="1022">
        <f t="shared" si="0"/>
        <v>492</v>
      </c>
      <c r="O23" s="1023">
        <f t="shared" si="1"/>
        <v>8.75</v>
      </c>
      <c r="P23" s="1024">
        <f t="shared" si="2"/>
        <v>10.166666666666666</v>
      </c>
      <c r="Q23" s="1025">
        <f t="shared" si="3"/>
        <v>10.057142857142857</v>
      </c>
      <c r="R23" s="1026">
        <f t="shared" si="4"/>
        <v>12.78688524590164</v>
      </c>
    </row>
    <row r="24" spans="2:18" ht="3" customHeight="1" x14ac:dyDescent="0.2"/>
    <row r="25" spans="2:18" x14ac:dyDescent="0.2">
      <c r="B25" s="942" t="s">
        <v>760</v>
      </c>
      <c r="C25" s="943"/>
      <c r="D25" s="944"/>
      <c r="E25" s="944"/>
      <c r="F25" s="944"/>
      <c r="G25" s="944"/>
      <c r="H25" s="944"/>
      <c r="I25" s="944"/>
      <c r="J25" s="944"/>
      <c r="K25" s="944"/>
      <c r="L25" s="944"/>
      <c r="M25" s="944"/>
      <c r="N25" s="944"/>
      <c r="O25" s="944"/>
      <c r="P25" s="944"/>
      <c r="Q25" s="944"/>
      <c r="R25" s="945"/>
    </row>
    <row r="26" spans="2:18" x14ac:dyDescent="0.2">
      <c r="B26" s="980"/>
      <c r="C26" s="981" t="s">
        <v>761</v>
      </c>
      <c r="D26" s="981" t="s">
        <v>762</v>
      </c>
      <c r="E26" s="981" t="s">
        <v>763</v>
      </c>
      <c r="F26" s="110"/>
      <c r="G26" s="110"/>
      <c r="H26" s="110"/>
      <c r="I26" s="110"/>
      <c r="J26" s="110"/>
      <c r="K26" s="110"/>
      <c r="L26" s="110"/>
      <c r="M26" s="110"/>
      <c r="N26" s="982"/>
      <c r="O26" s="110"/>
      <c r="P26" s="110"/>
      <c r="Q26" s="110"/>
      <c r="R26" s="983"/>
    </row>
    <row r="27" spans="2:18" x14ac:dyDescent="0.2">
      <c r="B27" s="984" t="s">
        <v>764</v>
      </c>
      <c r="C27" s="985">
        <v>423268</v>
      </c>
      <c r="D27" s="986">
        <v>2332</v>
      </c>
      <c r="E27" s="987">
        <f>+C27/D27</f>
        <v>181.50428816466552</v>
      </c>
      <c r="F27" s="396">
        <v>70</v>
      </c>
      <c r="G27" s="988">
        <v>55</v>
      </c>
      <c r="H27" s="384">
        <v>109</v>
      </c>
      <c r="I27" s="396">
        <v>8</v>
      </c>
      <c r="J27" s="384">
        <v>2</v>
      </c>
      <c r="K27" s="988">
        <v>36</v>
      </c>
      <c r="L27" s="384">
        <v>98</v>
      </c>
      <c r="M27" s="384">
        <v>99</v>
      </c>
      <c r="N27" s="8">
        <f>SUM(H27:M27)</f>
        <v>352</v>
      </c>
      <c r="O27" s="1030">
        <f>+G27/12</f>
        <v>4.583333333333333</v>
      </c>
      <c r="P27" s="1031">
        <f>+F27/12</f>
        <v>5.833333333333333</v>
      </c>
      <c r="Q27" s="1034">
        <f>(+I27+J27+K27)/O27</f>
        <v>10.036363636363637</v>
      </c>
      <c r="R27" s="1035">
        <f>+L27/P27</f>
        <v>16.8</v>
      </c>
    </row>
    <row r="28" spans="2:18" x14ac:dyDescent="0.2">
      <c r="B28" s="989" t="s">
        <v>765</v>
      </c>
      <c r="C28" s="403">
        <v>409650</v>
      </c>
      <c r="D28" s="354">
        <v>2044</v>
      </c>
      <c r="E28" s="990">
        <f>+C28/D28</f>
        <v>200.41585127201566</v>
      </c>
      <c r="F28" s="969">
        <v>52</v>
      </c>
      <c r="G28" s="968">
        <v>50</v>
      </c>
      <c r="H28" s="107">
        <v>66</v>
      </c>
      <c r="I28" s="969">
        <v>4</v>
      </c>
      <c r="J28" s="107">
        <v>12</v>
      </c>
      <c r="K28" s="968">
        <v>26</v>
      </c>
      <c r="L28" s="107">
        <v>32</v>
      </c>
      <c r="M28" s="107">
        <v>0</v>
      </c>
      <c r="N28" s="8">
        <f>SUM(H28:M28)</f>
        <v>140</v>
      </c>
      <c r="O28" s="1032">
        <f>+G28/12</f>
        <v>4.166666666666667</v>
      </c>
      <c r="P28" s="1033">
        <f>+F28/12</f>
        <v>4.333333333333333</v>
      </c>
      <c r="Q28" s="1012">
        <f>(+I28+J28+K28)/O28</f>
        <v>10.08</v>
      </c>
      <c r="R28" s="1013">
        <f>+L28/P28</f>
        <v>7.384615384615385</v>
      </c>
    </row>
    <row r="29" spans="2:18" x14ac:dyDescent="0.2">
      <c r="B29" s="989" t="s">
        <v>766</v>
      </c>
      <c r="C29" s="403">
        <v>0</v>
      </c>
      <c r="D29" s="354">
        <v>0</v>
      </c>
      <c r="E29" s="991" t="e">
        <f>+C29/D29</f>
        <v>#DIV/0!</v>
      </c>
      <c r="F29" s="969">
        <v>0</v>
      </c>
      <c r="G29" s="968">
        <v>0</v>
      </c>
      <c r="H29" s="107">
        <v>0</v>
      </c>
      <c r="I29" s="969">
        <v>0</v>
      </c>
      <c r="J29" s="107">
        <v>0</v>
      </c>
      <c r="K29" s="968">
        <v>0</v>
      </c>
      <c r="L29" s="107">
        <v>0</v>
      </c>
      <c r="M29" s="107">
        <v>0</v>
      </c>
      <c r="N29" s="8">
        <f>SUM(H29:M29)</f>
        <v>0</v>
      </c>
      <c r="O29" s="1032">
        <f>+G29/12</f>
        <v>0</v>
      </c>
      <c r="P29" s="1033">
        <f>+F29/12</f>
        <v>0</v>
      </c>
      <c r="Q29" s="1012" t="e">
        <f>(+I29+J29+K29)/O29</f>
        <v>#DIV/0!</v>
      </c>
      <c r="R29" s="1013" t="e">
        <f>+L29/P29</f>
        <v>#DIV/0!</v>
      </c>
    </row>
    <row r="30" spans="2:18" x14ac:dyDescent="0.2">
      <c r="B30" s="992"/>
      <c r="C30" s="978"/>
      <c r="D30" s="978"/>
      <c r="E30" s="979" t="s">
        <v>759</v>
      </c>
      <c r="F30" s="1019">
        <f t="shared" ref="F30:M30" si="16">SUM(F27:F29)</f>
        <v>122</v>
      </c>
      <c r="G30" s="1020">
        <f t="shared" si="16"/>
        <v>105</v>
      </c>
      <c r="H30" s="1021">
        <f t="shared" si="16"/>
        <v>175</v>
      </c>
      <c r="I30" s="1019">
        <f t="shared" si="16"/>
        <v>12</v>
      </c>
      <c r="J30" s="1022">
        <f t="shared" si="16"/>
        <v>14</v>
      </c>
      <c r="K30" s="1020">
        <f t="shared" si="16"/>
        <v>62</v>
      </c>
      <c r="L30" s="1019">
        <f t="shared" si="16"/>
        <v>130</v>
      </c>
      <c r="M30" s="1022">
        <f t="shared" si="16"/>
        <v>99</v>
      </c>
      <c r="N30" s="1020">
        <f>SUM(H30:M30)</f>
        <v>492</v>
      </c>
      <c r="O30" s="1023">
        <f>SUM(O27:O29)</f>
        <v>8.75</v>
      </c>
      <c r="P30" s="1024">
        <f>SUM(P27:P29)</f>
        <v>10.166666666666666</v>
      </c>
      <c r="Q30" s="1025">
        <f>(+I30+J30+K30)/O30</f>
        <v>10.057142857142857</v>
      </c>
      <c r="R30" s="1026">
        <f>+L30/P30</f>
        <v>12.78688524590164</v>
      </c>
    </row>
    <row r="32" spans="2:18" x14ac:dyDescent="0.2">
      <c r="F32" s="106" t="s">
        <v>767</v>
      </c>
    </row>
    <row r="34" spans="2:18" x14ac:dyDescent="0.2">
      <c r="B34" s="993" t="s">
        <v>768</v>
      </c>
      <c r="C34" s="994"/>
      <c r="D34" s="994"/>
      <c r="E34" s="994"/>
      <c r="F34" s="994"/>
      <c r="G34" s="994"/>
      <c r="H34" s="994"/>
      <c r="I34" s="994"/>
      <c r="J34" s="994"/>
      <c r="K34" s="994"/>
      <c r="L34" s="994"/>
      <c r="M34" s="994"/>
      <c r="N34" s="994"/>
      <c r="O34" s="994"/>
      <c r="P34" s="994"/>
      <c r="Q34" s="994"/>
      <c r="R34" s="995"/>
    </row>
    <row r="35" spans="2:18" s="110" customFormat="1" ht="12" customHeight="1" x14ac:dyDescent="0.2">
      <c r="B35" s="996"/>
      <c r="C35" s="997" t="s">
        <v>514</v>
      </c>
      <c r="D35" s="997" t="s">
        <v>723</v>
      </c>
      <c r="E35" s="998" t="s">
        <v>553</v>
      </c>
      <c r="F35" s="2287" t="s">
        <v>515</v>
      </c>
      <c r="G35" s="2288"/>
      <c r="H35" s="999" t="s">
        <v>724</v>
      </c>
      <c r="I35" s="2287" t="s">
        <v>725</v>
      </c>
      <c r="J35" s="2289"/>
      <c r="K35" s="2288"/>
      <c r="L35" s="944"/>
      <c r="M35" s="944"/>
      <c r="N35" s="944"/>
      <c r="O35" s="2290" t="s">
        <v>726</v>
      </c>
      <c r="P35" s="2291"/>
      <c r="Q35" s="2290" t="s">
        <v>727</v>
      </c>
      <c r="R35" s="2291"/>
    </row>
    <row r="36" spans="2:18" s="957" customFormat="1" ht="12" customHeight="1" x14ac:dyDescent="0.2">
      <c r="B36" s="951" t="s">
        <v>769</v>
      </c>
      <c r="C36" s="953" t="s">
        <v>520</v>
      </c>
      <c r="D36" s="953" t="s">
        <v>729</v>
      </c>
      <c r="E36" s="954" t="s">
        <v>514</v>
      </c>
      <c r="F36" s="955" t="s">
        <v>521</v>
      </c>
      <c r="G36" s="954" t="s">
        <v>522</v>
      </c>
      <c r="H36" s="956" t="s">
        <v>523</v>
      </c>
      <c r="I36" s="955" t="s">
        <v>730</v>
      </c>
      <c r="J36" s="953" t="s">
        <v>731</v>
      </c>
      <c r="K36" s="954" t="s">
        <v>732</v>
      </c>
      <c r="L36" s="955" t="s">
        <v>524</v>
      </c>
      <c r="M36" s="953" t="s">
        <v>525</v>
      </c>
      <c r="N36" s="954" t="s">
        <v>240</v>
      </c>
      <c r="O36" s="955" t="s">
        <v>725</v>
      </c>
      <c r="P36" s="954" t="s">
        <v>524</v>
      </c>
      <c r="Q36" s="955" t="s">
        <v>725</v>
      </c>
      <c r="R36" s="954" t="s">
        <v>524</v>
      </c>
    </row>
    <row r="37" spans="2:18" x14ac:dyDescent="0.2">
      <c r="B37" s="1000" t="s">
        <v>407</v>
      </c>
      <c r="C37" s="1001" t="s">
        <v>770</v>
      </c>
      <c r="D37" s="1001" t="s">
        <v>771</v>
      </c>
      <c r="E37" s="1002">
        <v>370000</v>
      </c>
      <c r="F37" s="1003">
        <v>105</v>
      </c>
      <c r="G37" s="1004">
        <v>117</v>
      </c>
      <c r="H37" s="1001">
        <v>1186</v>
      </c>
      <c r="I37" s="1003">
        <v>5</v>
      </c>
      <c r="J37" s="1001">
        <v>18</v>
      </c>
      <c r="K37" s="1004">
        <v>36</v>
      </c>
      <c r="L37" s="1001">
        <v>155</v>
      </c>
      <c r="M37" s="1001">
        <v>933</v>
      </c>
      <c r="N37" s="1005">
        <f t="shared" ref="N37:N50" si="17">SUM(H37:M37)</f>
        <v>2333</v>
      </c>
      <c r="O37" s="1006">
        <f t="shared" ref="O37:O50" si="18">+G37/12</f>
        <v>9.75</v>
      </c>
      <c r="P37" s="1007">
        <f t="shared" ref="P37:P50" si="19">+F37/12</f>
        <v>8.75</v>
      </c>
      <c r="Q37" s="1008">
        <f t="shared" ref="Q37:Q50" si="20">(+I37+J37+K37)/O37</f>
        <v>6.0512820512820511</v>
      </c>
      <c r="R37" s="1009">
        <f t="shared" ref="R37:R50" si="21">+L37/P37</f>
        <v>17.714285714285715</v>
      </c>
    </row>
    <row r="38" spans="2:18" x14ac:dyDescent="0.2">
      <c r="B38" s="967" t="s">
        <v>772</v>
      </c>
      <c r="C38" s="107"/>
      <c r="D38" s="107">
        <v>0</v>
      </c>
      <c r="E38" s="990">
        <v>0</v>
      </c>
      <c r="F38" s="969">
        <v>0</v>
      </c>
      <c r="G38" s="968">
        <v>0</v>
      </c>
      <c r="H38" s="107">
        <v>0</v>
      </c>
      <c r="I38" s="969">
        <v>0</v>
      </c>
      <c r="J38" s="107">
        <v>0</v>
      </c>
      <c r="K38" s="968">
        <v>0</v>
      </c>
      <c r="L38" s="107">
        <v>0</v>
      </c>
      <c r="M38" s="107">
        <v>0</v>
      </c>
      <c r="N38" s="8">
        <f t="shared" si="17"/>
        <v>0</v>
      </c>
      <c r="O38" s="1010">
        <f t="shared" si="18"/>
        <v>0</v>
      </c>
      <c r="P38" s="1011">
        <f t="shared" si="19"/>
        <v>0</v>
      </c>
      <c r="Q38" s="1012" t="e">
        <f t="shared" si="20"/>
        <v>#DIV/0!</v>
      </c>
      <c r="R38" s="1013" t="e">
        <f t="shared" si="21"/>
        <v>#DIV/0!</v>
      </c>
    </row>
    <row r="39" spans="2:18" x14ac:dyDescent="0.2">
      <c r="B39" s="967" t="s">
        <v>772</v>
      </c>
      <c r="C39" s="107"/>
      <c r="D39" s="107">
        <v>0</v>
      </c>
      <c r="E39" s="990">
        <v>0</v>
      </c>
      <c r="F39" s="969">
        <v>0</v>
      </c>
      <c r="G39" s="968">
        <v>0</v>
      </c>
      <c r="H39" s="107">
        <v>0</v>
      </c>
      <c r="I39" s="969">
        <v>0</v>
      </c>
      <c r="J39" s="107">
        <v>0</v>
      </c>
      <c r="K39" s="968">
        <v>0</v>
      </c>
      <c r="L39" s="107">
        <v>0</v>
      </c>
      <c r="M39" s="107">
        <v>0</v>
      </c>
      <c r="N39" s="8">
        <f t="shared" si="17"/>
        <v>0</v>
      </c>
      <c r="O39" s="1010">
        <f t="shared" si="18"/>
        <v>0</v>
      </c>
      <c r="P39" s="1011">
        <f t="shared" si="19"/>
        <v>0</v>
      </c>
      <c r="Q39" s="1012" t="e">
        <f t="shared" si="20"/>
        <v>#DIV/0!</v>
      </c>
      <c r="R39" s="1013" t="e">
        <f t="shared" si="21"/>
        <v>#DIV/0!</v>
      </c>
    </row>
    <row r="40" spans="2:18" x14ac:dyDescent="0.2">
      <c r="B40" s="967" t="s">
        <v>772</v>
      </c>
      <c r="C40" s="107"/>
      <c r="D40" s="107">
        <v>0</v>
      </c>
      <c r="E40" s="990">
        <v>0</v>
      </c>
      <c r="F40" s="969">
        <v>0</v>
      </c>
      <c r="G40" s="968">
        <v>0</v>
      </c>
      <c r="H40" s="107">
        <v>0</v>
      </c>
      <c r="I40" s="969">
        <v>0</v>
      </c>
      <c r="J40" s="107">
        <v>0</v>
      </c>
      <c r="K40" s="968">
        <v>0</v>
      </c>
      <c r="L40" s="107">
        <v>0</v>
      </c>
      <c r="M40" s="107">
        <v>0</v>
      </c>
      <c r="N40" s="8">
        <f t="shared" si="17"/>
        <v>0</v>
      </c>
      <c r="O40" s="1010">
        <f t="shared" si="18"/>
        <v>0</v>
      </c>
      <c r="P40" s="1011">
        <f t="shared" si="19"/>
        <v>0</v>
      </c>
      <c r="Q40" s="1012" t="e">
        <f t="shared" si="20"/>
        <v>#DIV/0!</v>
      </c>
      <c r="R40" s="1013" t="e">
        <f t="shared" si="21"/>
        <v>#DIV/0!</v>
      </c>
    </row>
    <row r="41" spans="2:18" x14ac:dyDescent="0.2">
      <c r="B41" s="967" t="s">
        <v>772</v>
      </c>
      <c r="C41" s="107"/>
      <c r="D41" s="107">
        <v>0</v>
      </c>
      <c r="E41" s="990">
        <v>0</v>
      </c>
      <c r="F41" s="969">
        <v>0</v>
      </c>
      <c r="G41" s="968">
        <v>0</v>
      </c>
      <c r="H41" s="107">
        <v>0</v>
      </c>
      <c r="I41" s="969">
        <v>0</v>
      </c>
      <c r="J41" s="107">
        <v>0</v>
      </c>
      <c r="K41" s="968">
        <v>0</v>
      </c>
      <c r="L41" s="107">
        <v>0</v>
      </c>
      <c r="M41" s="107">
        <v>0</v>
      </c>
      <c r="N41" s="8">
        <f t="shared" si="17"/>
        <v>0</v>
      </c>
      <c r="O41" s="1010">
        <f t="shared" si="18"/>
        <v>0</v>
      </c>
      <c r="P41" s="1011">
        <f t="shared" si="19"/>
        <v>0</v>
      </c>
      <c r="Q41" s="1012" t="e">
        <f t="shared" si="20"/>
        <v>#DIV/0!</v>
      </c>
      <c r="R41" s="1013" t="e">
        <f t="shared" si="21"/>
        <v>#DIV/0!</v>
      </c>
    </row>
    <row r="42" spans="2:18" x14ac:dyDescent="0.2">
      <c r="B42" s="967" t="s">
        <v>772</v>
      </c>
      <c r="C42" s="107"/>
      <c r="D42" s="107">
        <v>0</v>
      </c>
      <c r="E42" s="990">
        <v>0</v>
      </c>
      <c r="F42" s="969">
        <v>0</v>
      </c>
      <c r="G42" s="968">
        <v>0</v>
      </c>
      <c r="H42" s="107">
        <v>0</v>
      </c>
      <c r="I42" s="969">
        <v>0</v>
      </c>
      <c r="J42" s="107">
        <v>0</v>
      </c>
      <c r="K42" s="968">
        <v>0</v>
      </c>
      <c r="L42" s="107">
        <v>0</v>
      </c>
      <c r="M42" s="107">
        <v>0</v>
      </c>
      <c r="N42" s="8">
        <f t="shared" si="17"/>
        <v>0</v>
      </c>
      <c r="O42" s="1010">
        <f t="shared" si="18"/>
        <v>0</v>
      </c>
      <c r="P42" s="1011">
        <f t="shared" si="19"/>
        <v>0</v>
      </c>
      <c r="Q42" s="1012" t="e">
        <f t="shared" si="20"/>
        <v>#DIV/0!</v>
      </c>
      <c r="R42" s="1013" t="e">
        <f t="shared" si="21"/>
        <v>#DIV/0!</v>
      </c>
    </row>
    <row r="43" spans="2:18" x14ac:dyDescent="0.2">
      <c r="B43" s="967" t="s">
        <v>772</v>
      </c>
      <c r="C43" s="107"/>
      <c r="D43" s="107">
        <v>0</v>
      </c>
      <c r="E43" s="990">
        <v>0</v>
      </c>
      <c r="F43" s="969">
        <v>0</v>
      </c>
      <c r="G43" s="968">
        <v>0</v>
      </c>
      <c r="H43" s="107">
        <v>0</v>
      </c>
      <c r="I43" s="969">
        <v>0</v>
      </c>
      <c r="J43" s="107">
        <v>0</v>
      </c>
      <c r="K43" s="968">
        <v>0</v>
      </c>
      <c r="L43" s="107">
        <v>0</v>
      </c>
      <c r="M43" s="107">
        <v>0</v>
      </c>
      <c r="N43" s="8">
        <f t="shared" si="17"/>
        <v>0</v>
      </c>
      <c r="O43" s="1010">
        <f t="shared" si="18"/>
        <v>0</v>
      </c>
      <c r="P43" s="1011">
        <f t="shared" si="19"/>
        <v>0</v>
      </c>
      <c r="Q43" s="1012" t="e">
        <f t="shared" si="20"/>
        <v>#DIV/0!</v>
      </c>
      <c r="R43" s="1013" t="e">
        <f t="shared" si="21"/>
        <v>#DIV/0!</v>
      </c>
    </row>
    <row r="44" spans="2:18" x14ac:dyDescent="0.2">
      <c r="B44" s="967" t="s">
        <v>772</v>
      </c>
      <c r="C44" s="107"/>
      <c r="D44" s="107">
        <v>0</v>
      </c>
      <c r="E44" s="990">
        <v>0</v>
      </c>
      <c r="F44" s="969">
        <v>0</v>
      </c>
      <c r="G44" s="968">
        <v>0</v>
      </c>
      <c r="H44" s="107">
        <v>0</v>
      </c>
      <c r="I44" s="969">
        <v>0</v>
      </c>
      <c r="J44" s="107">
        <v>0</v>
      </c>
      <c r="K44" s="968">
        <v>0</v>
      </c>
      <c r="L44" s="107">
        <v>0</v>
      </c>
      <c r="M44" s="107">
        <v>0</v>
      </c>
      <c r="N44" s="8">
        <f t="shared" si="17"/>
        <v>0</v>
      </c>
      <c r="O44" s="1010">
        <f t="shared" si="18"/>
        <v>0</v>
      </c>
      <c r="P44" s="1011">
        <f t="shared" si="19"/>
        <v>0</v>
      </c>
      <c r="Q44" s="1012" t="e">
        <f t="shared" si="20"/>
        <v>#DIV/0!</v>
      </c>
      <c r="R44" s="1013" t="e">
        <f t="shared" si="21"/>
        <v>#DIV/0!</v>
      </c>
    </row>
    <row r="45" spans="2:18" x14ac:dyDescent="0.2">
      <c r="B45" s="967" t="s">
        <v>772</v>
      </c>
      <c r="C45" s="107"/>
      <c r="D45" s="107">
        <v>0</v>
      </c>
      <c r="E45" s="990">
        <v>0</v>
      </c>
      <c r="F45" s="969">
        <v>0</v>
      </c>
      <c r="G45" s="968">
        <v>0</v>
      </c>
      <c r="H45" s="107">
        <v>0</v>
      </c>
      <c r="I45" s="969">
        <v>0</v>
      </c>
      <c r="J45" s="107">
        <v>0</v>
      </c>
      <c r="K45" s="968">
        <v>0</v>
      </c>
      <c r="L45" s="107">
        <v>0</v>
      </c>
      <c r="M45" s="107">
        <v>0</v>
      </c>
      <c r="N45" s="8">
        <f t="shared" si="17"/>
        <v>0</v>
      </c>
      <c r="O45" s="1010">
        <f t="shared" si="18"/>
        <v>0</v>
      </c>
      <c r="P45" s="1011">
        <f t="shared" si="19"/>
        <v>0</v>
      </c>
      <c r="Q45" s="1012" t="e">
        <f t="shared" si="20"/>
        <v>#DIV/0!</v>
      </c>
      <c r="R45" s="1013" t="e">
        <f t="shared" si="21"/>
        <v>#DIV/0!</v>
      </c>
    </row>
    <row r="46" spans="2:18" x14ac:dyDescent="0.2">
      <c r="B46" s="967" t="s">
        <v>772</v>
      </c>
      <c r="C46" s="107"/>
      <c r="D46" s="107">
        <v>0</v>
      </c>
      <c r="E46" s="990">
        <v>0</v>
      </c>
      <c r="F46" s="969">
        <v>0</v>
      </c>
      <c r="G46" s="968">
        <v>0</v>
      </c>
      <c r="H46" s="107">
        <v>0</v>
      </c>
      <c r="I46" s="969">
        <v>0</v>
      </c>
      <c r="J46" s="107">
        <v>0</v>
      </c>
      <c r="K46" s="968">
        <v>0</v>
      </c>
      <c r="L46" s="107">
        <v>0</v>
      </c>
      <c r="M46" s="107">
        <v>0</v>
      </c>
      <c r="N46" s="8">
        <f t="shared" si="17"/>
        <v>0</v>
      </c>
      <c r="O46" s="1010">
        <f t="shared" si="18"/>
        <v>0</v>
      </c>
      <c r="P46" s="1011">
        <f t="shared" si="19"/>
        <v>0</v>
      </c>
      <c r="Q46" s="1012" t="e">
        <f t="shared" si="20"/>
        <v>#DIV/0!</v>
      </c>
      <c r="R46" s="1013" t="e">
        <f t="shared" si="21"/>
        <v>#DIV/0!</v>
      </c>
    </row>
    <row r="47" spans="2:18" x14ac:dyDescent="0.2">
      <c r="B47" s="967" t="s">
        <v>772</v>
      </c>
      <c r="C47" s="107"/>
      <c r="D47" s="107">
        <v>0</v>
      </c>
      <c r="E47" s="990">
        <v>0</v>
      </c>
      <c r="F47" s="969">
        <v>0</v>
      </c>
      <c r="G47" s="968">
        <v>0</v>
      </c>
      <c r="H47" s="107">
        <v>0</v>
      </c>
      <c r="I47" s="969">
        <v>0</v>
      </c>
      <c r="J47" s="107">
        <v>0</v>
      </c>
      <c r="K47" s="968">
        <v>0</v>
      </c>
      <c r="L47" s="107">
        <v>0</v>
      </c>
      <c r="M47" s="107">
        <v>0</v>
      </c>
      <c r="N47" s="8">
        <f t="shared" si="17"/>
        <v>0</v>
      </c>
      <c r="O47" s="1010">
        <f t="shared" si="18"/>
        <v>0</v>
      </c>
      <c r="P47" s="1011">
        <f t="shared" si="19"/>
        <v>0</v>
      </c>
      <c r="Q47" s="1012" t="e">
        <f t="shared" si="20"/>
        <v>#DIV/0!</v>
      </c>
      <c r="R47" s="1013" t="e">
        <f t="shared" si="21"/>
        <v>#DIV/0!</v>
      </c>
    </row>
    <row r="48" spans="2:18" x14ac:dyDescent="0.2">
      <c r="B48" s="967" t="s">
        <v>772</v>
      </c>
      <c r="C48" s="107"/>
      <c r="D48" s="107">
        <v>0</v>
      </c>
      <c r="E48" s="990">
        <v>0</v>
      </c>
      <c r="F48" s="969">
        <v>0</v>
      </c>
      <c r="G48" s="968">
        <v>0</v>
      </c>
      <c r="H48" s="107">
        <v>0</v>
      </c>
      <c r="I48" s="969">
        <v>0</v>
      </c>
      <c r="J48" s="107">
        <v>0</v>
      </c>
      <c r="K48" s="968">
        <v>0</v>
      </c>
      <c r="L48" s="107">
        <v>0</v>
      </c>
      <c r="M48" s="107">
        <v>0</v>
      </c>
      <c r="N48" s="8">
        <f t="shared" si="17"/>
        <v>0</v>
      </c>
      <c r="O48" s="1010">
        <f t="shared" si="18"/>
        <v>0</v>
      </c>
      <c r="P48" s="1011">
        <f t="shared" si="19"/>
        <v>0</v>
      </c>
      <c r="Q48" s="1012" t="e">
        <f t="shared" si="20"/>
        <v>#DIV/0!</v>
      </c>
      <c r="R48" s="1013" t="e">
        <f t="shared" si="21"/>
        <v>#DIV/0!</v>
      </c>
    </row>
    <row r="49" spans="2:18" x14ac:dyDescent="0.2">
      <c r="B49" s="967" t="s">
        <v>772</v>
      </c>
      <c r="C49" s="107"/>
      <c r="D49" s="107">
        <v>0</v>
      </c>
      <c r="E49" s="990">
        <v>0</v>
      </c>
      <c r="F49" s="969">
        <v>0</v>
      </c>
      <c r="G49" s="968">
        <v>0</v>
      </c>
      <c r="H49" s="107">
        <v>0</v>
      </c>
      <c r="I49" s="969">
        <v>0</v>
      </c>
      <c r="J49" s="107">
        <v>0</v>
      </c>
      <c r="K49" s="968">
        <v>0</v>
      </c>
      <c r="L49" s="107">
        <v>0</v>
      </c>
      <c r="M49" s="107">
        <v>0</v>
      </c>
      <c r="N49" s="8">
        <f t="shared" si="17"/>
        <v>0</v>
      </c>
      <c r="O49" s="1010">
        <f t="shared" si="18"/>
        <v>0</v>
      </c>
      <c r="P49" s="1011">
        <f t="shared" si="19"/>
        <v>0</v>
      </c>
      <c r="Q49" s="1012" t="e">
        <f t="shared" si="20"/>
        <v>#DIV/0!</v>
      </c>
      <c r="R49" s="1013" t="e">
        <f t="shared" si="21"/>
        <v>#DIV/0!</v>
      </c>
    </row>
    <row r="50" spans="2:18" x14ac:dyDescent="0.2">
      <c r="B50" s="974" t="s">
        <v>772</v>
      </c>
      <c r="C50" s="975"/>
      <c r="D50" s="975">
        <v>0</v>
      </c>
      <c r="E50" s="991">
        <v>0</v>
      </c>
      <c r="F50" s="397">
        <v>0</v>
      </c>
      <c r="G50" s="976">
        <v>0</v>
      </c>
      <c r="H50" s="975">
        <v>0</v>
      </c>
      <c r="I50" s="397">
        <v>0</v>
      </c>
      <c r="J50" s="975">
        <v>0</v>
      </c>
      <c r="K50" s="976">
        <v>0</v>
      </c>
      <c r="L50" s="975">
        <v>0</v>
      </c>
      <c r="M50" s="975">
        <v>0</v>
      </c>
      <c r="N50" s="1014">
        <f t="shared" si="17"/>
        <v>0</v>
      </c>
      <c r="O50" s="1015">
        <f t="shared" si="18"/>
        <v>0</v>
      </c>
      <c r="P50" s="1016">
        <f t="shared" si="19"/>
        <v>0</v>
      </c>
      <c r="Q50" s="1017" t="e">
        <f t="shared" si="20"/>
        <v>#DIV/0!</v>
      </c>
      <c r="R50" s="1018" t="e">
        <f t="shared" si="21"/>
        <v>#DIV/0!</v>
      </c>
    </row>
    <row r="51" spans="2:18" ht="3" customHeight="1" x14ac:dyDescent="0.2"/>
  </sheetData>
  <sheetProtection formatCells="0" formatColumns="0" formatRows="0" insertColumns="0" insertRows="0"/>
  <mergeCells count="8">
    <mergeCell ref="F3:G3"/>
    <mergeCell ref="I3:K3"/>
    <mergeCell ref="O3:P3"/>
    <mergeCell ref="Q3:R3"/>
    <mergeCell ref="F35:G35"/>
    <mergeCell ref="I35:K35"/>
    <mergeCell ref="O35:P35"/>
    <mergeCell ref="Q35:R35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B165-3EDF-4520-A334-CB5685CBCCF6}">
  <dimension ref="B1:IW41"/>
  <sheetViews>
    <sheetView showGridLines="0" zoomScaleNormal="100" workbookViewId="0"/>
  </sheetViews>
  <sheetFormatPr defaultColWidth="9.140625" defaultRowHeight="11.25" x14ac:dyDescent="0.2"/>
  <cols>
    <col min="1" max="1" width="1.7109375" style="1038" customWidth="1"/>
    <col min="2" max="2" width="23.28515625" style="1038" customWidth="1"/>
    <col min="3" max="3" width="8" style="1038" bestFit="1" customWidth="1"/>
    <col min="4" max="4" width="6" style="1038" bestFit="1" customWidth="1"/>
    <col min="5" max="5" width="6.7109375" style="1039" bestFit="1" customWidth="1"/>
    <col min="6" max="6" width="6.7109375" style="1038" bestFit="1" customWidth="1"/>
    <col min="7" max="7" width="6.85546875" style="1038" bestFit="1" customWidth="1"/>
    <col min="8" max="8" width="6.7109375" style="1038" bestFit="1" customWidth="1"/>
    <col min="9" max="9" width="8" style="1038" bestFit="1" customWidth="1"/>
    <col min="10" max="10" width="6.140625" style="1038" bestFit="1" customWidth="1"/>
    <col min="11" max="11" width="9.42578125" style="1038" bestFit="1" customWidth="1"/>
    <col min="12" max="12" width="8.42578125" style="1038" bestFit="1" customWidth="1"/>
    <col min="13" max="256" width="9.140625" style="1038"/>
    <col min="257" max="257" width="9.28515625" style="1038" bestFit="1" customWidth="1"/>
    <col min="258" max="258" width="9.140625" style="1038"/>
    <col min="259" max="259" width="26.140625" style="1038" customWidth="1"/>
    <col min="260" max="260" width="7" style="1038" bestFit="1" customWidth="1"/>
    <col min="261" max="261" width="10.28515625" style="1038" bestFit="1" customWidth="1"/>
    <col min="262" max="262" width="8.28515625" style="1038" bestFit="1" customWidth="1"/>
    <col min="263" max="263" width="12" style="1038" bestFit="1" customWidth="1"/>
    <col min="264" max="265" width="8.28515625" style="1038" bestFit="1" customWidth="1"/>
    <col min="266" max="266" width="7" style="1038" bestFit="1" customWidth="1"/>
    <col min="267" max="267" width="8.140625" style="1038" bestFit="1" customWidth="1"/>
    <col min="268" max="268" width="6.7109375" style="1038" bestFit="1" customWidth="1"/>
    <col min="269" max="514" width="9.140625" style="1038"/>
    <col min="515" max="515" width="26.140625" style="1038" customWidth="1"/>
    <col min="516" max="516" width="7" style="1038" bestFit="1" customWidth="1"/>
    <col min="517" max="517" width="10.28515625" style="1038" bestFit="1" customWidth="1"/>
    <col min="518" max="518" width="8.28515625" style="1038" bestFit="1" customWidth="1"/>
    <col min="519" max="519" width="12" style="1038" bestFit="1" customWidth="1"/>
    <col min="520" max="521" width="8.28515625" style="1038" bestFit="1" customWidth="1"/>
    <col min="522" max="522" width="7" style="1038" bestFit="1" customWidth="1"/>
    <col min="523" max="523" width="8.140625" style="1038" bestFit="1" customWidth="1"/>
    <col min="524" max="524" width="6.7109375" style="1038" bestFit="1" customWidth="1"/>
    <col min="525" max="770" width="9.140625" style="1038"/>
    <col min="771" max="771" width="26.140625" style="1038" customWidth="1"/>
    <col min="772" max="772" width="7" style="1038" bestFit="1" customWidth="1"/>
    <col min="773" max="773" width="10.28515625" style="1038" bestFit="1" customWidth="1"/>
    <col min="774" max="774" width="8.28515625" style="1038" bestFit="1" customWidth="1"/>
    <col min="775" max="775" width="12" style="1038" bestFit="1" customWidth="1"/>
    <col min="776" max="777" width="8.28515625" style="1038" bestFit="1" customWidth="1"/>
    <col min="778" max="778" width="7" style="1038" bestFit="1" customWidth="1"/>
    <col min="779" max="779" width="8.140625" style="1038" bestFit="1" customWidth="1"/>
    <col min="780" max="780" width="6.7109375" style="1038" bestFit="1" customWidth="1"/>
    <col min="781" max="1026" width="9.140625" style="1038"/>
    <col min="1027" max="1027" width="26.140625" style="1038" customWidth="1"/>
    <col min="1028" max="1028" width="7" style="1038" bestFit="1" customWidth="1"/>
    <col min="1029" max="1029" width="10.28515625" style="1038" bestFit="1" customWidth="1"/>
    <col min="1030" max="1030" width="8.28515625" style="1038" bestFit="1" customWidth="1"/>
    <col min="1031" max="1031" width="12" style="1038" bestFit="1" customWidth="1"/>
    <col min="1032" max="1033" width="8.28515625" style="1038" bestFit="1" customWidth="1"/>
    <col min="1034" max="1034" width="7" style="1038" bestFit="1" customWidth="1"/>
    <col min="1035" max="1035" width="8.140625" style="1038" bestFit="1" customWidth="1"/>
    <col min="1036" max="1036" width="6.7109375" style="1038" bestFit="1" customWidth="1"/>
    <col min="1037" max="1282" width="9.140625" style="1038"/>
    <col min="1283" max="1283" width="26.140625" style="1038" customWidth="1"/>
    <col min="1284" max="1284" width="7" style="1038" bestFit="1" customWidth="1"/>
    <col min="1285" max="1285" width="10.28515625" style="1038" bestFit="1" customWidth="1"/>
    <col min="1286" max="1286" width="8.28515625" style="1038" bestFit="1" customWidth="1"/>
    <col min="1287" max="1287" width="12" style="1038" bestFit="1" customWidth="1"/>
    <col min="1288" max="1289" width="8.28515625" style="1038" bestFit="1" customWidth="1"/>
    <col min="1290" max="1290" width="7" style="1038" bestFit="1" customWidth="1"/>
    <col min="1291" max="1291" width="8.140625" style="1038" bestFit="1" customWidth="1"/>
    <col min="1292" max="1292" width="6.7109375" style="1038" bestFit="1" customWidth="1"/>
    <col min="1293" max="1538" width="9.140625" style="1038"/>
    <col min="1539" max="1539" width="26.140625" style="1038" customWidth="1"/>
    <col min="1540" max="1540" width="7" style="1038" bestFit="1" customWidth="1"/>
    <col min="1541" max="1541" width="10.28515625" style="1038" bestFit="1" customWidth="1"/>
    <col min="1542" max="1542" width="8.28515625" style="1038" bestFit="1" customWidth="1"/>
    <col min="1543" max="1543" width="12" style="1038" bestFit="1" customWidth="1"/>
    <col min="1544" max="1545" width="8.28515625" style="1038" bestFit="1" customWidth="1"/>
    <col min="1546" max="1546" width="7" style="1038" bestFit="1" customWidth="1"/>
    <col min="1547" max="1547" width="8.140625" style="1038" bestFit="1" customWidth="1"/>
    <col min="1548" max="1548" width="6.7109375" style="1038" bestFit="1" customWidth="1"/>
    <col min="1549" max="1794" width="9.140625" style="1038"/>
    <col min="1795" max="1795" width="26.140625" style="1038" customWidth="1"/>
    <col min="1796" max="1796" width="7" style="1038" bestFit="1" customWidth="1"/>
    <col min="1797" max="1797" width="10.28515625" style="1038" bestFit="1" customWidth="1"/>
    <col min="1798" max="1798" width="8.28515625" style="1038" bestFit="1" customWidth="1"/>
    <col min="1799" max="1799" width="12" style="1038" bestFit="1" customWidth="1"/>
    <col min="1800" max="1801" width="8.28515625" style="1038" bestFit="1" customWidth="1"/>
    <col min="1802" max="1802" width="7" style="1038" bestFit="1" customWidth="1"/>
    <col min="1803" max="1803" width="8.140625" style="1038" bestFit="1" customWidth="1"/>
    <col min="1804" max="1804" width="6.7109375" style="1038" bestFit="1" customWidth="1"/>
    <col min="1805" max="2050" width="9.140625" style="1038"/>
    <col min="2051" max="2051" width="26.140625" style="1038" customWidth="1"/>
    <col min="2052" max="2052" width="7" style="1038" bestFit="1" customWidth="1"/>
    <col min="2053" max="2053" width="10.28515625" style="1038" bestFit="1" customWidth="1"/>
    <col min="2054" max="2054" width="8.28515625" style="1038" bestFit="1" customWidth="1"/>
    <col min="2055" max="2055" width="12" style="1038" bestFit="1" customWidth="1"/>
    <col min="2056" max="2057" width="8.28515625" style="1038" bestFit="1" customWidth="1"/>
    <col min="2058" max="2058" width="7" style="1038" bestFit="1" customWidth="1"/>
    <col min="2059" max="2059" width="8.140625" style="1038" bestFit="1" customWidth="1"/>
    <col min="2060" max="2060" width="6.7109375" style="1038" bestFit="1" customWidth="1"/>
    <col min="2061" max="2306" width="9.140625" style="1038"/>
    <col min="2307" max="2307" width="26.140625" style="1038" customWidth="1"/>
    <col min="2308" max="2308" width="7" style="1038" bestFit="1" customWidth="1"/>
    <col min="2309" max="2309" width="10.28515625" style="1038" bestFit="1" customWidth="1"/>
    <col min="2310" max="2310" width="8.28515625" style="1038" bestFit="1" customWidth="1"/>
    <col min="2311" max="2311" width="12" style="1038" bestFit="1" customWidth="1"/>
    <col min="2312" max="2313" width="8.28515625" style="1038" bestFit="1" customWidth="1"/>
    <col min="2314" max="2314" width="7" style="1038" bestFit="1" customWidth="1"/>
    <col min="2315" max="2315" width="8.140625" style="1038" bestFit="1" customWidth="1"/>
    <col min="2316" max="2316" width="6.7109375" style="1038" bestFit="1" customWidth="1"/>
    <col min="2317" max="2562" width="9.140625" style="1038"/>
    <col min="2563" max="2563" width="26.140625" style="1038" customWidth="1"/>
    <col min="2564" max="2564" width="7" style="1038" bestFit="1" customWidth="1"/>
    <col min="2565" max="2565" width="10.28515625" style="1038" bestFit="1" customWidth="1"/>
    <col min="2566" max="2566" width="8.28515625" style="1038" bestFit="1" customWidth="1"/>
    <col min="2567" max="2567" width="12" style="1038" bestFit="1" customWidth="1"/>
    <col min="2568" max="2569" width="8.28515625" style="1038" bestFit="1" customWidth="1"/>
    <col min="2570" max="2570" width="7" style="1038" bestFit="1" customWidth="1"/>
    <col min="2571" max="2571" width="8.140625" style="1038" bestFit="1" customWidth="1"/>
    <col min="2572" max="2572" width="6.7109375" style="1038" bestFit="1" customWidth="1"/>
    <col min="2573" max="2818" width="9.140625" style="1038"/>
    <col min="2819" max="2819" width="26.140625" style="1038" customWidth="1"/>
    <col min="2820" max="2820" width="7" style="1038" bestFit="1" customWidth="1"/>
    <col min="2821" max="2821" width="10.28515625" style="1038" bestFit="1" customWidth="1"/>
    <col min="2822" max="2822" width="8.28515625" style="1038" bestFit="1" customWidth="1"/>
    <col min="2823" max="2823" width="12" style="1038" bestFit="1" customWidth="1"/>
    <col min="2824" max="2825" width="8.28515625" style="1038" bestFit="1" customWidth="1"/>
    <col min="2826" max="2826" width="7" style="1038" bestFit="1" customWidth="1"/>
    <col min="2827" max="2827" width="8.140625" style="1038" bestFit="1" customWidth="1"/>
    <col min="2828" max="2828" width="6.7109375" style="1038" bestFit="1" customWidth="1"/>
    <col min="2829" max="3074" width="9.140625" style="1038"/>
    <col min="3075" max="3075" width="26.140625" style="1038" customWidth="1"/>
    <col min="3076" max="3076" width="7" style="1038" bestFit="1" customWidth="1"/>
    <col min="3077" max="3077" width="10.28515625" style="1038" bestFit="1" customWidth="1"/>
    <col min="3078" max="3078" width="8.28515625" style="1038" bestFit="1" customWidth="1"/>
    <col min="3079" max="3079" width="12" style="1038" bestFit="1" customWidth="1"/>
    <col min="3080" max="3081" width="8.28515625" style="1038" bestFit="1" customWidth="1"/>
    <col min="3082" max="3082" width="7" style="1038" bestFit="1" customWidth="1"/>
    <col min="3083" max="3083" width="8.140625" style="1038" bestFit="1" customWidth="1"/>
    <col min="3084" max="3084" width="6.7109375" style="1038" bestFit="1" customWidth="1"/>
    <col min="3085" max="3330" width="9.140625" style="1038"/>
    <col min="3331" max="3331" width="26.140625" style="1038" customWidth="1"/>
    <col min="3332" max="3332" width="7" style="1038" bestFit="1" customWidth="1"/>
    <col min="3333" max="3333" width="10.28515625" style="1038" bestFit="1" customWidth="1"/>
    <col min="3334" max="3334" width="8.28515625" style="1038" bestFit="1" customWidth="1"/>
    <col min="3335" max="3335" width="12" style="1038" bestFit="1" customWidth="1"/>
    <col min="3336" max="3337" width="8.28515625" style="1038" bestFit="1" customWidth="1"/>
    <col min="3338" max="3338" width="7" style="1038" bestFit="1" customWidth="1"/>
    <col min="3339" max="3339" width="8.140625" style="1038" bestFit="1" customWidth="1"/>
    <col min="3340" max="3340" width="6.7109375" style="1038" bestFit="1" customWidth="1"/>
    <col min="3341" max="3586" width="9.140625" style="1038"/>
    <col min="3587" max="3587" width="26.140625" style="1038" customWidth="1"/>
    <col min="3588" max="3588" width="7" style="1038" bestFit="1" customWidth="1"/>
    <col min="3589" max="3589" width="10.28515625" style="1038" bestFit="1" customWidth="1"/>
    <col min="3590" max="3590" width="8.28515625" style="1038" bestFit="1" customWidth="1"/>
    <col min="3591" max="3591" width="12" style="1038" bestFit="1" customWidth="1"/>
    <col min="3592" max="3593" width="8.28515625" style="1038" bestFit="1" customWidth="1"/>
    <col min="3594" max="3594" width="7" style="1038" bestFit="1" customWidth="1"/>
    <col min="3595" max="3595" width="8.140625" style="1038" bestFit="1" customWidth="1"/>
    <col min="3596" max="3596" width="6.7109375" style="1038" bestFit="1" customWidth="1"/>
    <col min="3597" max="3842" width="9.140625" style="1038"/>
    <col min="3843" max="3843" width="26.140625" style="1038" customWidth="1"/>
    <col min="3844" max="3844" width="7" style="1038" bestFit="1" customWidth="1"/>
    <col min="3845" max="3845" width="10.28515625" style="1038" bestFit="1" customWidth="1"/>
    <col min="3846" max="3846" width="8.28515625" style="1038" bestFit="1" customWidth="1"/>
    <col min="3847" max="3847" width="12" style="1038" bestFit="1" customWidth="1"/>
    <col min="3848" max="3849" width="8.28515625" style="1038" bestFit="1" customWidth="1"/>
    <col min="3850" max="3850" width="7" style="1038" bestFit="1" customWidth="1"/>
    <col min="3851" max="3851" width="8.140625" style="1038" bestFit="1" customWidth="1"/>
    <col min="3852" max="3852" width="6.7109375" style="1038" bestFit="1" customWidth="1"/>
    <col min="3853" max="4098" width="9.140625" style="1038"/>
    <col min="4099" max="4099" width="26.140625" style="1038" customWidth="1"/>
    <col min="4100" max="4100" width="7" style="1038" bestFit="1" customWidth="1"/>
    <col min="4101" max="4101" width="10.28515625" style="1038" bestFit="1" customWidth="1"/>
    <col min="4102" max="4102" width="8.28515625" style="1038" bestFit="1" customWidth="1"/>
    <col min="4103" max="4103" width="12" style="1038" bestFit="1" customWidth="1"/>
    <col min="4104" max="4105" width="8.28515625" style="1038" bestFit="1" customWidth="1"/>
    <col min="4106" max="4106" width="7" style="1038" bestFit="1" customWidth="1"/>
    <col min="4107" max="4107" width="8.140625" style="1038" bestFit="1" customWidth="1"/>
    <col min="4108" max="4108" width="6.7109375" style="1038" bestFit="1" customWidth="1"/>
    <col min="4109" max="4354" width="9.140625" style="1038"/>
    <col min="4355" max="4355" width="26.140625" style="1038" customWidth="1"/>
    <col min="4356" max="4356" width="7" style="1038" bestFit="1" customWidth="1"/>
    <col min="4357" max="4357" width="10.28515625" style="1038" bestFit="1" customWidth="1"/>
    <col min="4358" max="4358" width="8.28515625" style="1038" bestFit="1" customWidth="1"/>
    <col min="4359" max="4359" width="12" style="1038" bestFit="1" customWidth="1"/>
    <col min="4360" max="4361" width="8.28515625" style="1038" bestFit="1" customWidth="1"/>
    <col min="4362" max="4362" width="7" style="1038" bestFit="1" customWidth="1"/>
    <col min="4363" max="4363" width="8.140625" style="1038" bestFit="1" customWidth="1"/>
    <col min="4364" max="4364" width="6.7109375" style="1038" bestFit="1" customWidth="1"/>
    <col min="4365" max="4610" width="9.140625" style="1038"/>
    <col min="4611" max="4611" width="26.140625" style="1038" customWidth="1"/>
    <col min="4612" max="4612" width="7" style="1038" bestFit="1" customWidth="1"/>
    <col min="4613" max="4613" width="10.28515625" style="1038" bestFit="1" customWidth="1"/>
    <col min="4614" max="4614" width="8.28515625" style="1038" bestFit="1" customWidth="1"/>
    <col min="4615" max="4615" width="12" style="1038" bestFit="1" customWidth="1"/>
    <col min="4616" max="4617" width="8.28515625" style="1038" bestFit="1" customWidth="1"/>
    <col min="4618" max="4618" width="7" style="1038" bestFit="1" customWidth="1"/>
    <col min="4619" max="4619" width="8.140625" style="1038" bestFit="1" customWidth="1"/>
    <col min="4620" max="4620" width="6.7109375" style="1038" bestFit="1" customWidth="1"/>
    <col min="4621" max="4866" width="9.140625" style="1038"/>
    <col min="4867" max="4867" width="26.140625" style="1038" customWidth="1"/>
    <col min="4868" max="4868" width="7" style="1038" bestFit="1" customWidth="1"/>
    <col min="4869" max="4869" width="10.28515625" style="1038" bestFit="1" customWidth="1"/>
    <col min="4870" max="4870" width="8.28515625" style="1038" bestFit="1" customWidth="1"/>
    <col min="4871" max="4871" width="12" style="1038" bestFit="1" customWidth="1"/>
    <col min="4872" max="4873" width="8.28515625" style="1038" bestFit="1" customWidth="1"/>
    <col min="4874" max="4874" width="7" style="1038" bestFit="1" customWidth="1"/>
    <col min="4875" max="4875" width="8.140625" style="1038" bestFit="1" customWidth="1"/>
    <col min="4876" max="4876" width="6.7109375" style="1038" bestFit="1" customWidth="1"/>
    <col min="4877" max="5122" width="9.140625" style="1038"/>
    <col min="5123" max="5123" width="26.140625" style="1038" customWidth="1"/>
    <col min="5124" max="5124" width="7" style="1038" bestFit="1" customWidth="1"/>
    <col min="5125" max="5125" width="10.28515625" style="1038" bestFit="1" customWidth="1"/>
    <col min="5126" max="5126" width="8.28515625" style="1038" bestFit="1" customWidth="1"/>
    <col min="5127" max="5127" width="12" style="1038" bestFit="1" customWidth="1"/>
    <col min="5128" max="5129" width="8.28515625" style="1038" bestFit="1" customWidth="1"/>
    <col min="5130" max="5130" width="7" style="1038" bestFit="1" customWidth="1"/>
    <col min="5131" max="5131" width="8.140625" style="1038" bestFit="1" customWidth="1"/>
    <col min="5132" max="5132" width="6.7109375" style="1038" bestFit="1" customWidth="1"/>
    <col min="5133" max="5378" width="9.140625" style="1038"/>
    <col min="5379" max="5379" width="26.140625" style="1038" customWidth="1"/>
    <col min="5380" max="5380" width="7" style="1038" bestFit="1" customWidth="1"/>
    <col min="5381" max="5381" width="10.28515625" style="1038" bestFit="1" customWidth="1"/>
    <col min="5382" max="5382" width="8.28515625" style="1038" bestFit="1" customWidth="1"/>
    <col min="5383" max="5383" width="12" style="1038" bestFit="1" customWidth="1"/>
    <col min="5384" max="5385" width="8.28515625" style="1038" bestFit="1" customWidth="1"/>
    <col min="5386" max="5386" width="7" style="1038" bestFit="1" customWidth="1"/>
    <col min="5387" max="5387" width="8.140625" style="1038" bestFit="1" customWidth="1"/>
    <col min="5388" max="5388" width="6.7109375" style="1038" bestFit="1" customWidth="1"/>
    <col min="5389" max="5634" width="9.140625" style="1038"/>
    <col min="5635" max="5635" width="26.140625" style="1038" customWidth="1"/>
    <col min="5636" max="5636" width="7" style="1038" bestFit="1" customWidth="1"/>
    <col min="5637" max="5637" width="10.28515625" style="1038" bestFit="1" customWidth="1"/>
    <col min="5638" max="5638" width="8.28515625" style="1038" bestFit="1" customWidth="1"/>
    <col min="5639" max="5639" width="12" style="1038" bestFit="1" customWidth="1"/>
    <col min="5640" max="5641" width="8.28515625" style="1038" bestFit="1" customWidth="1"/>
    <col min="5642" max="5642" width="7" style="1038" bestFit="1" customWidth="1"/>
    <col min="5643" max="5643" width="8.140625" style="1038" bestFit="1" customWidth="1"/>
    <col min="5644" max="5644" width="6.7109375" style="1038" bestFit="1" customWidth="1"/>
    <col min="5645" max="5890" width="9.140625" style="1038"/>
    <col min="5891" max="5891" width="26.140625" style="1038" customWidth="1"/>
    <col min="5892" max="5892" width="7" style="1038" bestFit="1" customWidth="1"/>
    <col min="5893" max="5893" width="10.28515625" style="1038" bestFit="1" customWidth="1"/>
    <col min="5894" max="5894" width="8.28515625" style="1038" bestFit="1" customWidth="1"/>
    <col min="5895" max="5895" width="12" style="1038" bestFit="1" customWidth="1"/>
    <col min="5896" max="5897" width="8.28515625" style="1038" bestFit="1" customWidth="1"/>
    <col min="5898" max="5898" width="7" style="1038" bestFit="1" customWidth="1"/>
    <col min="5899" max="5899" width="8.140625" style="1038" bestFit="1" customWidth="1"/>
    <col min="5900" max="5900" width="6.7109375" style="1038" bestFit="1" customWidth="1"/>
    <col min="5901" max="6146" width="9.140625" style="1038"/>
    <col min="6147" max="6147" width="26.140625" style="1038" customWidth="1"/>
    <col min="6148" max="6148" width="7" style="1038" bestFit="1" customWidth="1"/>
    <col min="6149" max="6149" width="10.28515625" style="1038" bestFit="1" customWidth="1"/>
    <col min="6150" max="6150" width="8.28515625" style="1038" bestFit="1" customWidth="1"/>
    <col min="6151" max="6151" width="12" style="1038" bestFit="1" customWidth="1"/>
    <col min="6152" max="6153" width="8.28515625" style="1038" bestFit="1" customWidth="1"/>
    <col min="6154" max="6154" width="7" style="1038" bestFit="1" customWidth="1"/>
    <col min="6155" max="6155" width="8.140625" style="1038" bestFit="1" customWidth="1"/>
    <col min="6156" max="6156" width="6.7109375" style="1038" bestFit="1" customWidth="1"/>
    <col min="6157" max="6402" width="9.140625" style="1038"/>
    <col min="6403" max="6403" width="26.140625" style="1038" customWidth="1"/>
    <col min="6404" max="6404" width="7" style="1038" bestFit="1" customWidth="1"/>
    <col min="6405" max="6405" width="10.28515625" style="1038" bestFit="1" customWidth="1"/>
    <col min="6406" max="6406" width="8.28515625" style="1038" bestFit="1" customWidth="1"/>
    <col min="6407" max="6407" width="12" style="1038" bestFit="1" customWidth="1"/>
    <col min="6408" max="6409" width="8.28515625" style="1038" bestFit="1" customWidth="1"/>
    <col min="6410" max="6410" width="7" style="1038" bestFit="1" customWidth="1"/>
    <col min="6411" max="6411" width="8.140625" style="1038" bestFit="1" customWidth="1"/>
    <col min="6412" max="6412" width="6.7109375" style="1038" bestFit="1" customWidth="1"/>
    <col min="6413" max="6658" width="9.140625" style="1038"/>
    <col min="6659" max="6659" width="26.140625" style="1038" customWidth="1"/>
    <col min="6660" max="6660" width="7" style="1038" bestFit="1" customWidth="1"/>
    <col min="6661" max="6661" width="10.28515625" style="1038" bestFit="1" customWidth="1"/>
    <col min="6662" max="6662" width="8.28515625" style="1038" bestFit="1" customWidth="1"/>
    <col min="6663" max="6663" width="12" style="1038" bestFit="1" customWidth="1"/>
    <col min="6664" max="6665" width="8.28515625" style="1038" bestFit="1" customWidth="1"/>
    <col min="6666" max="6666" width="7" style="1038" bestFit="1" customWidth="1"/>
    <col min="6667" max="6667" width="8.140625" style="1038" bestFit="1" customWidth="1"/>
    <col min="6668" max="6668" width="6.7109375" style="1038" bestFit="1" customWidth="1"/>
    <col min="6669" max="6914" width="9.140625" style="1038"/>
    <col min="6915" max="6915" width="26.140625" style="1038" customWidth="1"/>
    <col min="6916" max="6916" width="7" style="1038" bestFit="1" customWidth="1"/>
    <col min="6917" max="6917" width="10.28515625" style="1038" bestFit="1" customWidth="1"/>
    <col min="6918" max="6918" width="8.28515625" style="1038" bestFit="1" customWidth="1"/>
    <col min="6919" max="6919" width="12" style="1038" bestFit="1" customWidth="1"/>
    <col min="6920" max="6921" width="8.28515625" style="1038" bestFit="1" customWidth="1"/>
    <col min="6922" max="6922" width="7" style="1038" bestFit="1" customWidth="1"/>
    <col min="6923" max="6923" width="8.140625" style="1038" bestFit="1" customWidth="1"/>
    <col min="6924" max="6924" width="6.7109375" style="1038" bestFit="1" customWidth="1"/>
    <col min="6925" max="7170" width="9.140625" style="1038"/>
    <col min="7171" max="7171" width="26.140625" style="1038" customWidth="1"/>
    <col min="7172" max="7172" width="7" style="1038" bestFit="1" customWidth="1"/>
    <col min="7173" max="7173" width="10.28515625" style="1038" bestFit="1" customWidth="1"/>
    <col min="7174" max="7174" width="8.28515625" style="1038" bestFit="1" customWidth="1"/>
    <col min="7175" max="7175" width="12" style="1038" bestFit="1" customWidth="1"/>
    <col min="7176" max="7177" width="8.28515625" style="1038" bestFit="1" customWidth="1"/>
    <col min="7178" max="7178" width="7" style="1038" bestFit="1" customWidth="1"/>
    <col min="7179" max="7179" width="8.140625" style="1038" bestFit="1" customWidth="1"/>
    <col min="7180" max="7180" width="6.7109375" style="1038" bestFit="1" customWidth="1"/>
    <col min="7181" max="7426" width="9.140625" style="1038"/>
    <col min="7427" max="7427" width="26.140625" style="1038" customWidth="1"/>
    <col min="7428" max="7428" width="7" style="1038" bestFit="1" customWidth="1"/>
    <col min="7429" max="7429" width="10.28515625" style="1038" bestFit="1" customWidth="1"/>
    <col min="7430" max="7430" width="8.28515625" style="1038" bestFit="1" customWidth="1"/>
    <col min="7431" max="7431" width="12" style="1038" bestFit="1" customWidth="1"/>
    <col min="7432" max="7433" width="8.28515625" style="1038" bestFit="1" customWidth="1"/>
    <col min="7434" max="7434" width="7" style="1038" bestFit="1" customWidth="1"/>
    <col min="7435" max="7435" width="8.140625" style="1038" bestFit="1" customWidth="1"/>
    <col min="7436" max="7436" width="6.7109375" style="1038" bestFit="1" customWidth="1"/>
    <col min="7437" max="7682" width="9.140625" style="1038"/>
    <col min="7683" max="7683" width="26.140625" style="1038" customWidth="1"/>
    <col min="7684" max="7684" width="7" style="1038" bestFit="1" customWidth="1"/>
    <col min="7685" max="7685" width="10.28515625" style="1038" bestFit="1" customWidth="1"/>
    <col min="7686" max="7686" width="8.28515625" style="1038" bestFit="1" customWidth="1"/>
    <col min="7687" max="7687" width="12" style="1038" bestFit="1" customWidth="1"/>
    <col min="7688" max="7689" width="8.28515625" style="1038" bestFit="1" customWidth="1"/>
    <col min="7690" max="7690" width="7" style="1038" bestFit="1" customWidth="1"/>
    <col min="7691" max="7691" width="8.140625" style="1038" bestFit="1" customWidth="1"/>
    <col min="7692" max="7692" width="6.7109375" style="1038" bestFit="1" customWidth="1"/>
    <col min="7693" max="7938" width="9.140625" style="1038"/>
    <col min="7939" max="7939" width="26.140625" style="1038" customWidth="1"/>
    <col min="7940" max="7940" width="7" style="1038" bestFit="1" customWidth="1"/>
    <col min="7941" max="7941" width="10.28515625" style="1038" bestFit="1" customWidth="1"/>
    <col min="7942" max="7942" width="8.28515625" style="1038" bestFit="1" customWidth="1"/>
    <col min="7943" max="7943" width="12" style="1038" bestFit="1" customWidth="1"/>
    <col min="7944" max="7945" width="8.28515625" style="1038" bestFit="1" customWidth="1"/>
    <col min="7946" max="7946" width="7" style="1038" bestFit="1" customWidth="1"/>
    <col min="7947" max="7947" width="8.140625" style="1038" bestFit="1" customWidth="1"/>
    <col min="7948" max="7948" width="6.7109375" style="1038" bestFit="1" customWidth="1"/>
    <col min="7949" max="8194" width="9.140625" style="1038"/>
    <col min="8195" max="8195" width="26.140625" style="1038" customWidth="1"/>
    <col min="8196" max="8196" width="7" style="1038" bestFit="1" customWidth="1"/>
    <col min="8197" max="8197" width="10.28515625" style="1038" bestFit="1" customWidth="1"/>
    <col min="8198" max="8198" width="8.28515625" style="1038" bestFit="1" customWidth="1"/>
    <col min="8199" max="8199" width="12" style="1038" bestFit="1" customWidth="1"/>
    <col min="8200" max="8201" width="8.28515625" style="1038" bestFit="1" customWidth="1"/>
    <col min="8202" max="8202" width="7" style="1038" bestFit="1" customWidth="1"/>
    <col min="8203" max="8203" width="8.140625" style="1038" bestFit="1" customWidth="1"/>
    <col min="8204" max="8204" width="6.7109375" style="1038" bestFit="1" customWidth="1"/>
    <col min="8205" max="8450" width="9.140625" style="1038"/>
    <col min="8451" max="8451" width="26.140625" style="1038" customWidth="1"/>
    <col min="8452" max="8452" width="7" style="1038" bestFit="1" customWidth="1"/>
    <col min="8453" max="8453" width="10.28515625" style="1038" bestFit="1" customWidth="1"/>
    <col min="8454" max="8454" width="8.28515625" style="1038" bestFit="1" customWidth="1"/>
    <col min="8455" max="8455" width="12" style="1038" bestFit="1" customWidth="1"/>
    <col min="8456" max="8457" width="8.28515625" style="1038" bestFit="1" customWidth="1"/>
    <col min="8458" max="8458" width="7" style="1038" bestFit="1" customWidth="1"/>
    <col min="8459" max="8459" width="8.140625" style="1038" bestFit="1" customWidth="1"/>
    <col min="8460" max="8460" width="6.7109375" style="1038" bestFit="1" customWidth="1"/>
    <col min="8461" max="8706" width="9.140625" style="1038"/>
    <col min="8707" max="8707" width="26.140625" style="1038" customWidth="1"/>
    <col min="8708" max="8708" width="7" style="1038" bestFit="1" customWidth="1"/>
    <col min="8709" max="8709" width="10.28515625" style="1038" bestFit="1" customWidth="1"/>
    <col min="8710" max="8710" width="8.28515625" style="1038" bestFit="1" customWidth="1"/>
    <col min="8711" max="8711" width="12" style="1038" bestFit="1" customWidth="1"/>
    <col min="8712" max="8713" width="8.28515625" style="1038" bestFit="1" customWidth="1"/>
    <col min="8714" max="8714" width="7" style="1038" bestFit="1" customWidth="1"/>
    <col min="8715" max="8715" width="8.140625" style="1038" bestFit="1" customWidth="1"/>
    <col min="8716" max="8716" width="6.7109375" style="1038" bestFit="1" customWidth="1"/>
    <col min="8717" max="8962" width="9.140625" style="1038"/>
    <col min="8963" max="8963" width="26.140625" style="1038" customWidth="1"/>
    <col min="8964" max="8964" width="7" style="1038" bestFit="1" customWidth="1"/>
    <col min="8965" max="8965" width="10.28515625" style="1038" bestFit="1" customWidth="1"/>
    <col min="8966" max="8966" width="8.28515625" style="1038" bestFit="1" customWidth="1"/>
    <col min="8967" max="8967" width="12" style="1038" bestFit="1" customWidth="1"/>
    <col min="8968" max="8969" width="8.28515625" style="1038" bestFit="1" customWidth="1"/>
    <col min="8970" max="8970" width="7" style="1038" bestFit="1" customWidth="1"/>
    <col min="8971" max="8971" width="8.140625" style="1038" bestFit="1" customWidth="1"/>
    <col min="8972" max="8972" width="6.7109375" style="1038" bestFit="1" customWidth="1"/>
    <col min="8973" max="9218" width="9.140625" style="1038"/>
    <col min="9219" max="9219" width="26.140625" style="1038" customWidth="1"/>
    <col min="9220" max="9220" width="7" style="1038" bestFit="1" customWidth="1"/>
    <col min="9221" max="9221" width="10.28515625" style="1038" bestFit="1" customWidth="1"/>
    <col min="9222" max="9222" width="8.28515625" style="1038" bestFit="1" customWidth="1"/>
    <col min="9223" max="9223" width="12" style="1038" bestFit="1" customWidth="1"/>
    <col min="9224" max="9225" width="8.28515625" style="1038" bestFit="1" customWidth="1"/>
    <col min="9226" max="9226" width="7" style="1038" bestFit="1" customWidth="1"/>
    <col min="9227" max="9227" width="8.140625" style="1038" bestFit="1" customWidth="1"/>
    <col min="9228" max="9228" width="6.7109375" style="1038" bestFit="1" customWidth="1"/>
    <col min="9229" max="9474" width="9.140625" style="1038"/>
    <col min="9475" max="9475" width="26.140625" style="1038" customWidth="1"/>
    <col min="9476" max="9476" width="7" style="1038" bestFit="1" customWidth="1"/>
    <col min="9477" max="9477" width="10.28515625" style="1038" bestFit="1" customWidth="1"/>
    <col min="9478" max="9478" width="8.28515625" style="1038" bestFit="1" customWidth="1"/>
    <col min="9479" max="9479" width="12" style="1038" bestFit="1" customWidth="1"/>
    <col min="9480" max="9481" width="8.28515625" style="1038" bestFit="1" customWidth="1"/>
    <col min="9482" max="9482" width="7" style="1038" bestFit="1" customWidth="1"/>
    <col min="9483" max="9483" width="8.140625" style="1038" bestFit="1" customWidth="1"/>
    <col min="9484" max="9484" width="6.7109375" style="1038" bestFit="1" customWidth="1"/>
    <col min="9485" max="9730" width="9.140625" style="1038"/>
    <col min="9731" max="9731" width="26.140625" style="1038" customWidth="1"/>
    <col min="9732" max="9732" width="7" style="1038" bestFit="1" customWidth="1"/>
    <col min="9733" max="9733" width="10.28515625" style="1038" bestFit="1" customWidth="1"/>
    <col min="9734" max="9734" width="8.28515625" style="1038" bestFit="1" customWidth="1"/>
    <col min="9735" max="9735" width="12" style="1038" bestFit="1" customWidth="1"/>
    <col min="9736" max="9737" width="8.28515625" style="1038" bestFit="1" customWidth="1"/>
    <col min="9738" max="9738" width="7" style="1038" bestFit="1" customWidth="1"/>
    <col min="9739" max="9739" width="8.140625" style="1038" bestFit="1" customWidth="1"/>
    <col min="9740" max="9740" width="6.7109375" style="1038" bestFit="1" customWidth="1"/>
    <col min="9741" max="9986" width="9.140625" style="1038"/>
    <col min="9987" max="9987" width="26.140625" style="1038" customWidth="1"/>
    <col min="9988" max="9988" width="7" style="1038" bestFit="1" customWidth="1"/>
    <col min="9989" max="9989" width="10.28515625" style="1038" bestFit="1" customWidth="1"/>
    <col min="9990" max="9990" width="8.28515625" style="1038" bestFit="1" customWidth="1"/>
    <col min="9991" max="9991" width="12" style="1038" bestFit="1" customWidth="1"/>
    <col min="9992" max="9993" width="8.28515625" style="1038" bestFit="1" customWidth="1"/>
    <col min="9994" max="9994" width="7" style="1038" bestFit="1" customWidth="1"/>
    <col min="9995" max="9995" width="8.140625" style="1038" bestFit="1" customWidth="1"/>
    <col min="9996" max="9996" width="6.7109375" style="1038" bestFit="1" customWidth="1"/>
    <col min="9997" max="10242" width="9.140625" style="1038"/>
    <col min="10243" max="10243" width="26.140625" style="1038" customWidth="1"/>
    <col min="10244" max="10244" width="7" style="1038" bestFit="1" customWidth="1"/>
    <col min="10245" max="10245" width="10.28515625" style="1038" bestFit="1" customWidth="1"/>
    <col min="10246" max="10246" width="8.28515625" style="1038" bestFit="1" customWidth="1"/>
    <col min="10247" max="10247" width="12" style="1038" bestFit="1" customWidth="1"/>
    <col min="10248" max="10249" width="8.28515625" style="1038" bestFit="1" customWidth="1"/>
    <col min="10250" max="10250" width="7" style="1038" bestFit="1" customWidth="1"/>
    <col min="10251" max="10251" width="8.140625" style="1038" bestFit="1" customWidth="1"/>
    <col min="10252" max="10252" width="6.7109375" style="1038" bestFit="1" customWidth="1"/>
    <col min="10253" max="10498" width="9.140625" style="1038"/>
    <col min="10499" max="10499" width="26.140625" style="1038" customWidth="1"/>
    <col min="10500" max="10500" width="7" style="1038" bestFit="1" customWidth="1"/>
    <col min="10501" max="10501" width="10.28515625" style="1038" bestFit="1" customWidth="1"/>
    <col min="10502" max="10502" width="8.28515625" style="1038" bestFit="1" customWidth="1"/>
    <col min="10503" max="10503" width="12" style="1038" bestFit="1" customWidth="1"/>
    <col min="10504" max="10505" width="8.28515625" style="1038" bestFit="1" customWidth="1"/>
    <col min="10506" max="10506" width="7" style="1038" bestFit="1" customWidth="1"/>
    <col min="10507" max="10507" width="8.140625" style="1038" bestFit="1" customWidth="1"/>
    <col min="10508" max="10508" width="6.7109375" style="1038" bestFit="1" customWidth="1"/>
    <col min="10509" max="10754" width="9.140625" style="1038"/>
    <col min="10755" max="10755" width="26.140625" style="1038" customWidth="1"/>
    <col min="10756" max="10756" width="7" style="1038" bestFit="1" customWidth="1"/>
    <col min="10757" max="10757" width="10.28515625" style="1038" bestFit="1" customWidth="1"/>
    <col min="10758" max="10758" width="8.28515625" style="1038" bestFit="1" customWidth="1"/>
    <col min="10759" max="10759" width="12" style="1038" bestFit="1" customWidth="1"/>
    <col min="10760" max="10761" width="8.28515625" style="1038" bestFit="1" customWidth="1"/>
    <col min="10762" max="10762" width="7" style="1038" bestFit="1" customWidth="1"/>
    <col min="10763" max="10763" width="8.140625" style="1038" bestFit="1" customWidth="1"/>
    <col min="10764" max="10764" width="6.7109375" style="1038" bestFit="1" customWidth="1"/>
    <col min="10765" max="11010" width="9.140625" style="1038"/>
    <col min="11011" max="11011" width="26.140625" style="1038" customWidth="1"/>
    <col min="11012" max="11012" width="7" style="1038" bestFit="1" customWidth="1"/>
    <col min="11013" max="11013" width="10.28515625" style="1038" bestFit="1" customWidth="1"/>
    <col min="11014" max="11014" width="8.28515625" style="1038" bestFit="1" customWidth="1"/>
    <col min="11015" max="11015" width="12" style="1038" bestFit="1" customWidth="1"/>
    <col min="11016" max="11017" width="8.28515625" style="1038" bestFit="1" customWidth="1"/>
    <col min="11018" max="11018" width="7" style="1038" bestFit="1" customWidth="1"/>
    <col min="11019" max="11019" width="8.140625" style="1038" bestFit="1" customWidth="1"/>
    <col min="11020" max="11020" width="6.7109375" style="1038" bestFit="1" customWidth="1"/>
    <col min="11021" max="11266" width="9.140625" style="1038"/>
    <col min="11267" max="11267" width="26.140625" style="1038" customWidth="1"/>
    <col min="11268" max="11268" width="7" style="1038" bestFit="1" customWidth="1"/>
    <col min="11269" max="11269" width="10.28515625" style="1038" bestFit="1" customWidth="1"/>
    <col min="11270" max="11270" width="8.28515625" style="1038" bestFit="1" customWidth="1"/>
    <col min="11271" max="11271" width="12" style="1038" bestFit="1" customWidth="1"/>
    <col min="11272" max="11273" width="8.28515625" style="1038" bestFit="1" customWidth="1"/>
    <col min="11274" max="11274" width="7" style="1038" bestFit="1" customWidth="1"/>
    <col min="11275" max="11275" width="8.140625" style="1038" bestFit="1" customWidth="1"/>
    <col min="11276" max="11276" width="6.7109375" style="1038" bestFit="1" customWidth="1"/>
    <col min="11277" max="11522" width="9.140625" style="1038"/>
    <col min="11523" max="11523" width="26.140625" style="1038" customWidth="1"/>
    <col min="11524" max="11524" width="7" style="1038" bestFit="1" customWidth="1"/>
    <col min="11525" max="11525" width="10.28515625" style="1038" bestFit="1" customWidth="1"/>
    <col min="11526" max="11526" width="8.28515625" style="1038" bestFit="1" customWidth="1"/>
    <col min="11527" max="11527" width="12" style="1038" bestFit="1" customWidth="1"/>
    <col min="11528" max="11529" width="8.28515625" style="1038" bestFit="1" customWidth="1"/>
    <col min="11530" max="11530" width="7" style="1038" bestFit="1" customWidth="1"/>
    <col min="11531" max="11531" width="8.140625" style="1038" bestFit="1" customWidth="1"/>
    <col min="11532" max="11532" width="6.7109375" style="1038" bestFit="1" customWidth="1"/>
    <col min="11533" max="11778" width="9.140625" style="1038"/>
    <col min="11779" max="11779" width="26.140625" style="1038" customWidth="1"/>
    <col min="11780" max="11780" width="7" style="1038" bestFit="1" customWidth="1"/>
    <col min="11781" max="11781" width="10.28515625" style="1038" bestFit="1" customWidth="1"/>
    <col min="11782" max="11782" width="8.28515625" style="1038" bestFit="1" customWidth="1"/>
    <col min="11783" max="11783" width="12" style="1038" bestFit="1" customWidth="1"/>
    <col min="11784" max="11785" width="8.28515625" style="1038" bestFit="1" customWidth="1"/>
    <col min="11786" max="11786" width="7" style="1038" bestFit="1" customWidth="1"/>
    <col min="11787" max="11787" width="8.140625" style="1038" bestFit="1" customWidth="1"/>
    <col min="11788" max="11788" width="6.7109375" style="1038" bestFit="1" customWidth="1"/>
    <col min="11789" max="12034" width="9.140625" style="1038"/>
    <col min="12035" max="12035" width="26.140625" style="1038" customWidth="1"/>
    <col min="12036" max="12036" width="7" style="1038" bestFit="1" customWidth="1"/>
    <col min="12037" max="12037" width="10.28515625" style="1038" bestFit="1" customWidth="1"/>
    <col min="12038" max="12038" width="8.28515625" style="1038" bestFit="1" customWidth="1"/>
    <col min="12039" max="12039" width="12" style="1038" bestFit="1" customWidth="1"/>
    <col min="12040" max="12041" width="8.28515625" style="1038" bestFit="1" customWidth="1"/>
    <col min="12042" max="12042" width="7" style="1038" bestFit="1" customWidth="1"/>
    <col min="12043" max="12043" width="8.140625" style="1038" bestFit="1" customWidth="1"/>
    <col min="12044" max="12044" width="6.7109375" style="1038" bestFit="1" customWidth="1"/>
    <col min="12045" max="12290" width="9.140625" style="1038"/>
    <col min="12291" max="12291" width="26.140625" style="1038" customWidth="1"/>
    <col min="12292" max="12292" width="7" style="1038" bestFit="1" customWidth="1"/>
    <col min="12293" max="12293" width="10.28515625" style="1038" bestFit="1" customWidth="1"/>
    <col min="12294" max="12294" width="8.28515625" style="1038" bestFit="1" customWidth="1"/>
    <col min="12295" max="12295" width="12" style="1038" bestFit="1" customWidth="1"/>
    <col min="12296" max="12297" width="8.28515625" style="1038" bestFit="1" customWidth="1"/>
    <col min="12298" max="12298" width="7" style="1038" bestFit="1" customWidth="1"/>
    <col min="12299" max="12299" width="8.140625" style="1038" bestFit="1" customWidth="1"/>
    <col min="12300" max="12300" width="6.7109375" style="1038" bestFit="1" customWidth="1"/>
    <col min="12301" max="12546" width="9.140625" style="1038"/>
    <col min="12547" max="12547" width="26.140625" style="1038" customWidth="1"/>
    <col min="12548" max="12548" width="7" style="1038" bestFit="1" customWidth="1"/>
    <col min="12549" max="12549" width="10.28515625" style="1038" bestFit="1" customWidth="1"/>
    <col min="12550" max="12550" width="8.28515625" style="1038" bestFit="1" customWidth="1"/>
    <col min="12551" max="12551" width="12" style="1038" bestFit="1" customWidth="1"/>
    <col min="12552" max="12553" width="8.28515625" style="1038" bestFit="1" customWidth="1"/>
    <col min="12554" max="12554" width="7" style="1038" bestFit="1" customWidth="1"/>
    <col min="12555" max="12555" width="8.140625" style="1038" bestFit="1" customWidth="1"/>
    <col min="12556" max="12556" width="6.7109375" style="1038" bestFit="1" customWidth="1"/>
    <col min="12557" max="12802" width="9.140625" style="1038"/>
    <col min="12803" max="12803" width="26.140625" style="1038" customWidth="1"/>
    <col min="12804" max="12804" width="7" style="1038" bestFit="1" customWidth="1"/>
    <col min="12805" max="12805" width="10.28515625" style="1038" bestFit="1" customWidth="1"/>
    <col min="12806" max="12806" width="8.28515625" style="1038" bestFit="1" customWidth="1"/>
    <col min="12807" max="12807" width="12" style="1038" bestFit="1" customWidth="1"/>
    <col min="12808" max="12809" width="8.28515625" style="1038" bestFit="1" customWidth="1"/>
    <col min="12810" max="12810" width="7" style="1038" bestFit="1" customWidth="1"/>
    <col min="12811" max="12811" width="8.140625" style="1038" bestFit="1" customWidth="1"/>
    <col min="12812" max="12812" width="6.7109375" style="1038" bestFit="1" customWidth="1"/>
    <col min="12813" max="13058" width="9.140625" style="1038"/>
    <col min="13059" max="13059" width="26.140625" style="1038" customWidth="1"/>
    <col min="13060" max="13060" width="7" style="1038" bestFit="1" customWidth="1"/>
    <col min="13061" max="13061" width="10.28515625" style="1038" bestFit="1" customWidth="1"/>
    <col min="13062" max="13062" width="8.28515625" style="1038" bestFit="1" customWidth="1"/>
    <col min="13063" max="13063" width="12" style="1038" bestFit="1" customWidth="1"/>
    <col min="13064" max="13065" width="8.28515625" style="1038" bestFit="1" customWidth="1"/>
    <col min="13066" max="13066" width="7" style="1038" bestFit="1" customWidth="1"/>
    <col min="13067" max="13067" width="8.140625" style="1038" bestFit="1" customWidth="1"/>
    <col min="13068" max="13068" width="6.7109375" style="1038" bestFit="1" customWidth="1"/>
    <col min="13069" max="13314" width="9.140625" style="1038"/>
    <col min="13315" max="13315" width="26.140625" style="1038" customWidth="1"/>
    <col min="13316" max="13316" width="7" style="1038" bestFit="1" customWidth="1"/>
    <col min="13317" max="13317" width="10.28515625" style="1038" bestFit="1" customWidth="1"/>
    <col min="13318" max="13318" width="8.28515625" style="1038" bestFit="1" customWidth="1"/>
    <col min="13319" max="13319" width="12" style="1038" bestFit="1" customWidth="1"/>
    <col min="13320" max="13321" width="8.28515625" style="1038" bestFit="1" customWidth="1"/>
    <col min="13322" max="13322" width="7" style="1038" bestFit="1" customWidth="1"/>
    <col min="13323" max="13323" width="8.140625" style="1038" bestFit="1" customWidth="1"/>
    <col min="13324" max="13324" width="6.7109375" style="1038" bestFit="1" customWidth="1"/>
    <col min="13325" max="13570" width="9.140625" style="1038"/>
    <col min="13571" max="13571" width="26.140625" style="1038" customWidth="1"/>
    <col min="13572" max="13572" width="7" style="1038" bestFit="1" customWidth="1"/>
    <col min="13573" max="13573" width="10.28515625" style="1038" bestFit="1" customWidth="1"/>
    <col min="13574" max="13574" width="8.28515625" style="1038" bestFit="1" customWidth="1"/>
    <col min="13575" max="13575" width="12" style="1038" bestFit="1" customWidth="1"/>
    <col min="13576" max="13577" width="8.28515625" style="1038" bestFit="1" customWidth="1"/>
    <col min="13578" max="13578" width="7" style="1038" bestFit="1" customWidth="1"/>
    <col min="13579" max="13579" width="8.140625" style="1038" bestFit="1" customWidth="1"/>
    <col min="13580" max="13580" width="6.7109375" style="1038" bestFit="1" customWidth="1"/>
    <col min="13581" max="13826" width="9.140625" style="1038"/>
    <col min="13827" max="13827" width="26.140625" style="1038" customWidth="1"/>
    <col min="13828" max="13828" width="7" style="1038" bestFit="1" customWidth="1"/>
    <col min="13829" max="13829" width="10.28515625" style="1038" bestFit="1" customWidth="1"/>
    <col min="13830" max="13830" width="8.28515625" style="1038" bestFit="1" customWidth="1"/>
    <col min="13831" max="13831" width="12" style="1038" bestFit="1" customWidth="1"/>
    <col min="13832" max="13833" width="8.28515625" style="1038" bestFit="1" customWidth="1"/>
    <col min="13834" max="13834" width="7" style="1038" bestFit="1" customWidth="1"/>
    <col min="13835" max="13835" width="8.140625" style="1038" bestFit="1" customWidth="1"/>
    <col min="13836" max="13836" width="6.7109375" style="1038" bestFit="1" customWidth="1"/>
    <col min="13837" max="14082" width="9.140625" style="1038"/>
    <col min="14083" max="14083" width="26.140625" style="1038" customWidth="1"/>
    <col min="14084" max="14084" width="7" style="1038" bestFit="1" customWidth="1"/>
    <col min="14085" max="14085" width="10.28515625" style="1038" bestFit="1" customWidth="1"/>
    <col min="14086" max="14086" width="8.28515625" style="1038" bestFit="1" customWidth="1"/>
    <col min="14087" max="14087" width="12" style="1038" bestFit="1" customWidth="1"/>
    <col min="14088" max="14089" width="8.28515625" style="1038" bestFit="1" customWidth="1"/>
    <col min="14090" max="14090" width="7" style="1038" bestFit="1" customWidth="1"/>
    <col min="14091" max="14091" width="8.140625" style="1038" bestFit="1" customWidth="1"/>
    <col min="14092" max="14092" width="6.7109375" style="1038" bestFit="1" customWidth="1"/>
    <col min="14093" max="14338" width="9.140625" style="1038"/>
    <col min="14339" max="14339" width="26.140625" style="1038" customWidth="1"/>
    <col min="14340" max="14340" width="7" style="1038" bestFit="1" customWidth="1"/>
    <col min="14341" max="14341" width="10.28515625" style="1038" bestFit="1" customWidth="1"/>
    <col min="14342" max="14342" width="8.28515625" style="1038" bestFit="1" customWidth="1"/>
    <col min="14343" max="14343" width="12" style="1038" bestFit="1" customWidth="1"/>
    <col min="14344" max="14345" width="8.28515625" style="1038" bestFit="1" customWidth="1"/>
    <col min="14346" max="14346" width="7" style="1038" bestFit="1" customWidth="1"/>
    <col min="14347" max="14347" width="8.140625" style="1038" bestFit="1" customWidth="1"/>
    <col min="14348" max="14348" width="6.7109375" style="1038" bestFit="1" customWidth="1"/>
    <col min="14349" max="14594" width="9.140625" style="1038"/>
    <col min="14595" max="14595" width="26.140625" style="1038" customWidth="1"/>
    <col min="14596" max="14596" width="7" style="1038" bestFit="1" customWidth="1"/>
    <col min="14597" max="14597" width="10.28515625" style="1038" bestFit="1" customWidth="1"/>
    <col min="14598" max="14598" width="8.28515625" style="1038" bestFit="1" customWidth="1"/>
    <col min="14599" max="14599" width="12" style="1038" bestFit="1" customWidth="1"/>
    <col min="14600" max="14601" width="8.28515625" style="1038" bestFit="1" customWidth="1"/>
    <col min="14602" max="14602" width="7" style="1038" bestFit="1" customWidth="1"/>
    <col min="14603" max="14603" width="8.140625" style="1038" bestFit="1" customWidth="1"/>
    <col min="14604" max="14604" width="6.7109375" style="1038" bestFit="1" customWidth="1"/>
    <col min="14605" max="14850" width="9.140625" style="1038"/>
    <col min="14851" max="14851" width="26.140625" style="1038" customWidth="1"/>
    <col min="14852" max="14852" width="7" style="1038" bestFit="1" customWidth="1"/>
    <col min="14853" max="14853" width="10.28515625" style="1038" bestFit="1" customWidth="1"/>
    <col min="14854" max="14854" width="8.28515625" style="1038" bestFit="1" customWidth="1"/>
    <col min="14855" max="14855" width="12" style="1038" bestFit="1" customWidth="1"/>
    <col min="14856" max="14857" width="8.28515625" style="1038" bestFit="1" customWidth="1"/>
    <col min="14858" max="14858" width="7" style="1038" bestFit="1" customWidth="1"/>
    <col min="14859" max="14859" width="8.140625" style="1038" bestFit="1" customWidth="1"/>
    <col min="14860" max="14860" width="6.7109375" style="1038" bestFit="1" customWidth="1"/>
    <col min="14861" max="15106" width="9.140625" style="1038"/>
    <col min="15107" max="15107" width="26.140625" style="1038" customWidth="1"/>
    <col min="15108" max="15108" width="7" style="1038" bestFit="1" customWidth="1"/>
    <col min="15109" max="15109" width="10.28515625" style="1038" bestFit="1" customWidth="1"/>
    <col min="15110" max="15110" width="8.28515625" style="1038" bestFit="1" customWidth="1"/>
    <col min="15111" max="15111" width="12" style="1038" bestFit="1" customWidth="1"/>
    <col min="15112" max="15113" width="8.28515625" style="1038" bestFit="1" customWidth="1"/>
    <col min="15114" max="15114" width="7" style="1038" bestFit="1" customWidth="1"/>
    <col min="15115" max="15115" width="8.140625" style="1038" bestFit="1" customWidth="1"/>
    <col min="15116" max="15116" width="6.7109375" style="1038" bestFit="1" customWidth="1"/>
    <col min="15117" max="15362" width="9.140625" style="1038"/>
    <col min="15363" max="15363" width="26.140625" style="1038" customWidth="1"/>
    <col min="15364" max="15364" width="7" style="1038" bestFit="1" customWidth="1"/>
    <col min="15365" max="15365" width="10.28515625" style="1038" bestFit="1" customWidth="1"/>
    <col min="15366" max="15366" width="8.28515625" style="1038" bestFit="1" customWidth="1"/>
    <col min="15367" max="15367" width="12" style="1038" bestFit="1" customWidth="1"/>
    <col min="15368" max="15369" width="8.28515625" style="1038" bestFit="1" customWidth="1"/>
    <col min="15370" max="15370" width="7" style="1038" bestFit="1" customWidth="1"/>
    <col min="15371" max="15371" width="8.140625" style="1038" bestFit="1" customWidth="1"/>
    <col min="15372" max="15372" width="6.7109375" style="1038" bestFit="1" customWidth="1"/>
    <col min="15373" max="15618" width="9.140625" style="1038"/>
    <col min="15619" max="15619" width="26.140625" style="1038" customWidth="1"/>
    <col min="15620" max="15620" width="7" style="1038" bestFit="1" customWidth="1"/>
    <col min="15621" max="15621" width="10.28515625" style="1038" bestFit="1" customWidth="1"/>
    <col min="15622" max="15622" width="8.28515625" style="1038" bestFit="1" customWidth="1"/>
    <col min="15623" max="15623" width="12" style="1038" bestFit="1" customWidth="1"/>
    <col min="15624" max="15625" width="8.28515625" style="1038" bestFit="1" customWidth="1"/>
    <col min="15626" max="15626" width="7" style="1038" bestFit="1" customWidth="1"/>
    <col min="15627" max="15627" width="8.140625" style="1038" bestFit="1" customWidth="1"/>
    <col min="15628" max="15628" width="6.7109375" style="1038" bestFit="1" customWidth="1"/>
    <col min="15629" max="15874" width="9.140625" style="1038"/>
    <col min="15875" max="15875" width="26.140625" style="1038" customWidth="1"/>
    <col min="15876" max="15876" width="7" style="1038" bestFit="1" customWidth="1"/>
    <col min="15877" max="15877" width="10.28515625" style="1038" bestFit="1" customWidth="1"/>
    <col min="15878" max="15878" width="8.28515625" style="1038" bestFit="1" customWidth="1"/>
    <col min="15879" max="15879" width="12" style="1038" bestFit="1" customWidth="1"/>
    <col min="15880" max="15881" width="8.28515625" style="1038" bestFit="1" customWidth="1"/>
    <col min="15882" max="15882" width="7" style="1038" bestFit="1" customWidth="1"/>
    <col min="15883" max="15883" width="8.140625" style="1038" bestFit="1" customWidth="1"/>
    <col min="15884" max="15884" width="6.7109375" style="1038" bestFit="1" customWidth="1"/>
    <col min="15885" max="16130" width="9.140625" style="1038"/>
    <col min="16131" max="16131" width="26.140625" style="1038" customWidth="1"/>
    <col min="16132" max="16132" width="7" style="1038" bestFit="1" customWidth="1"/>
    <col min="16133" max="16133" width="10.28515625" style="1038" bestFit="1" customWidth="1"/>
    <col min="16134" max="16134" width="8.28515625" style="1038" bestFit="1" customWidth="1"/>
    <col min="16135" max="16135" width="12" style="1038" bestFit="1" customWidth="1"/>
    <col min="16136" max="16137" width="8.28515625" style="1038" bestFit="1" customWidth="1"/>
    <col min="16138" max="16138" width="7" style="1038" bestFit="1" customWidth="1"/>
    <col min="16139" max="16139" width="8.140625" style="1038" bestFit="1" customWidth="1"/>
    <col min="16140" max="16140" width="6.7109375" style="1038" bestFit="1" customWidth="1"/>
    <col min="16141" max="16384" width="9.140625" style="1038"/>
  </cols>
  <sheetData>
    <row r="1" spans="2:257" ht="9.9499999999999993" customHeight="1" x14ac:dyDescent="0.2"/>
    <row r="2" spans="2:257" x14ac:dyDescent="0.2">
      <c r="B2" s="1040" t="s">
        <v>773</v>
      </c>
      <c r="D2" s="1041"/>
      <c r="E2" s="1042"/>
    </row>
    <row r="3" spans="2:257" x14ac:dyDescent="0.2">
      <c r="B3" s="1043" t="s">
        <v>774</v>
      </c>
      <c r="C3" s="481"/>
      <c r="D3" s="1041"/>
      <c r="E3" s="1042"/>
    </row>
    <row r="4" spans="2:257" x14ac:dyDescent="0.2">
      <c r="B4" s="1038" t="s">
        <v>775</v>
      </c>
      <c r="D4" s="1041"/>
      <c r="E4" s="1042"/>
    </row>
    <row r="5" spans="2:257" x14ac:dyDescent="0.2">
      <c r="B5" s="1044">
        <f ca="1">NOW()</f>
        <v>46268.500685763887</v>
      </c>
      <c r="C5" s="1045"/>
      <c r="D5" s="1041"/>
      <c r="E5" s="1042"/>
      <c r="I5" s="481"/>
      <c r="J5" s="481"/>
    </row>
    <row r="6" spans="2:257" ht="3" customHeight="1" thickBot="1" x14ac:dyDescent="0.25">
      <c r="B6" s="1046"/>
      <c r="D6" s="1047"/>
      <c r="E6" s="1048"/>
    </row>
    <row r="7" spans="2:257" x14ac:dyDescent="0.2">
      <c r="B7" s="1049"/>
      <c r="C7" s="1050" t="s">
        <v>776</v>
      </c>
      <c r="D7" s="1051">
        <v>0</v>
      </c>
      <c r="E7" s="1052"/>
      <c r="F7" s="2292" t="s">
        <v>777</v>
      </c>
      <c r="G7" s="2293"/>
      <c r="H7" s="2294"/>
      <c r="I7" s="2292" t="s">
        <v>778</v>
      </c>
      <c r="J7" s="2294"/>
      <c r="K7" s="1053" t="s">
        <v>779</v>
      </c>
      <c r="L7" s="1054" t="s">
        <v>780</v>
      </c>
    </row>
    <row r="8" spans="2:257" ht="12" thickBot="1" x14ac:dyDescent="0.25">
      <c r="B8" s="1055" t="s">
        <v>781</v>
      </c>
      <c r="C8" s="1056" t="s">
        <v>465</v>
      </c>
      <c r="D8" s="1056" t="s">
        <v>782</v>
      </c>
      <c r="E8" s="1057"/>
      <c r="F8" s="1058" t="s">
        <v>783</v>
      </c>
      <c r="G8" s="1056" t="s">
        <v>784</v>
      </c>
      <c r="H8" s="1059" t="s">
        <v>240</v>
      </c>
      <c r="I8" s="1056" t="s">
        <v>785</v>
      </c>
      <c r="J8" s="1056" t="s">
        <v>786</v>
      </c>
      <c r="K8" s="1058" t="s">
        <v>785</v>
      </c>
      <c r="L8" s="1060" t="s">
        <v>785</v>
      </c>
    </row>
    <row r="9" spans="2:257" x14ac:dyDescent="0.2">
      <c r="B9" s="1061" t="s">
        <v>787</v>
      </c>
      <c r="C9" s="1062"/>
      <c r="D9" s="1063"/>
      <c r="E9" s="1064"/>
      <c r="F9" s="1062"/>
      <c r="G9" s="1063"/>
      <c r="H9" s="1065"/>
      <c r="I9" s="1063"/>
      <c r="J9" s="1063"/>
      <c r="K9" s="1066"/>
      <c r="L9" s="1067"/>
    </row>
    <row r="10" spans="2:257" s="1040" customFormat="1" x14ac:dyDescent="0.2">
      <c r="B10" s="1068" t="s">
        <v>788</v>
      </c>
      <c r="C10" s="1069">
        <v>0</v>
      </c>
      <c r="D10" s="1119" t="e">
        <f>C10/$D$7</f>
        <v>#DIV/0!</v>
      </c>
      <c r="E10" s="1120" t="e">
        <f>+C10/C35</f>
        <v>#DIV/0!</v>
      </c>
      <c r="F10" s="1071">
        <v>0</v>
      </c>
      <c r="G10" s="1072">
        <v>0</v>
      </c>
      <c r="H10" s="1121">
        <f>F10+G10</f>
        <v>0</v>
      </c>
      <c r="I10" s="1119">
        <f>C10-H10</f>
        <v>0</v>
      </c>
      <c r="J10" s="1119" t="e">
        <f>I10/$D$7</f>
        <v>#DIV/0!</v>
      </c>
      <c r="K10" s="1122">
        <f>I10-L10</f>
        <v>0</v>
      </c>
      <c r="L10" s="1075">
        <v>0</v>
      </c>
      <c r="IW10" s="1076" t="e">
        <f>SUM(C10:IV10)</f>
        <v>#DIV/0!</v>
      </c>
    </row>
    <row r="11" spans="2:257" s="1040" customFormat="1" x14ac:dyDescent="0.2">
      <c r="B11" s="1077" t="s">
        <v>789</v>
      </c>
      <c r="C11" s="1114">
        <f t="shared" ref="C11:L11" si="0">SUM(C10:C10)</f>
        <v>0</v>
      </c>
      <c r="D11" s="1115" t="e">
        <f t="shared" si="0"/>
        <v>#DIV/0!</v>
      </c>
      <c r="E11" s="1116" t="e">
        <f>+C11/C35</f>
        <v>#DIV/0!</v>
      </c>
      <c r="F11" s="1114">
        <f t="shared" si="0"/>
        <v>0</v>
      </c>
      <c r="G11" s="1115">
        <f t="shared" si="0"/>
        <v>0</v>
      </c>
      <c r="H11" s="1117">
        <f t="shared" si="0"/>
        <v>0</v>
      </c>
      <c r="I11" s="1115">
        <f t="shared" si="0"/>
        <v>0</v>
      </c>
      <c r="J11" s="1115" t="e">
        <f t="shared" si="0"/>
        <v>#DIV/0!</v>
      </c>
      <c r="K11" s="1114">
        <f>SUM(K10:K10)</f>
        <v>0</v>
      </c>
      <c r="L11" s="1118">
        <f t="shared" si="0"/>
        <v>0</v>
      </c>
      <c r="IW11" s="1076"/>
    </row>
    <row r="12" spans="2:257" ht="3" customHeight="1" x14ac:dyDescent="0.2">
      <c r="B12" s="1078"/>
      <c r="C12" s="1079"/>
      <c r="D12" s="1070"/>
      <c r="E12" s="1080"/>
      <c r="F12" s="1081"/>
      <c r="G12" s="1070"/>
      <c r="H12" s="1073"/>
      <c r="I12" s="1070"/>
      <c r="J12" s="1070"/>
      <c r="K12" s="1082"/>
      <c r="L12" s="1083"/>
    </row>
    <row r="13" spans="2:257" x14ac:dyDescent="0.2">
      <c r="B13" s="1084" t="s">
        <v>790</v>
      </c>
      <c r="C13" s="1079"/>
      <c r="D13" s="1070"/>
      <c r="E13" s="1080"/>
      <c r="F13" s="1081"/>
      <c r="G13" s="1070"/>
      <c r="H13" s="1073"/>
      <c r="I13" s="1070"/>
      <c r="J13" s="1070"/>
      <c r="K13" s="1082"/>
      <c r="L13" s="1083"/>
    </row>
    <row r="14" spans="2:257" x14ac:dyDescent="0.2">
      <c r="B14" s="1068" t="s">
        <v>791</v>
      </c>
      <c r="C14" s="1069">
        <v>0</v>
      </c>
      <c r="D14" s="1119" t="e">
        <f>C14/$D$7</f>
        <v>#DIV/0!</v>
      </c>
      <c r="E14" s="1120" t="e">
        <f>+C14/$C$35</f>
        <v>#DIV/0!</v>
      </c>
      <c r="F14" s="1071">
        <v>0</v>
      </c>
      <c r="G14" s="1072">
        <v>0</v>
      </c>
      <c r="H14" s="1121">
        <f>F14+G14</f>
        <v>0</v>
      </c>
      <c r="I14" s="1119">
        <f>C14-H14</f>
        <v>0</v>
      </c>
      <c r="J14" s="1119" t="e">
        <f>I14/$D$7</f>
        <v>#DIV/0!</v>
      </c>
      <c r="K14" s="1122">
        <f>I14-L14</f>
        <v>0</v>
      </c>
      <c r="L14" s="1075">
        <v>0</v>
      </c>
    </row>
    <row r="15" spans="2:257" x14ac:dyDescent="0.2">
      <c r="B15" s="1068" t="s">
        <v>792</v>
      </c>
      <c r="C15" s="1069">
        <v>0</v>
      </c>
      <c r="D15" s="1119" t="e">
        <f>C15/$D$7</f>
        <v>#DIV/0!</v>
      </c>
      <c r="E15" s="1120" t="e">
        <f>+C15/$C$35</f>
        <v>#DIV/0!</v>
      </c>
      <c r="F15" s="1071">
        <v>0</v>
      </c>
      <c r="G15" s="1072">
        <v>0</v>
      </c>
      <c r="H15" s="1121">
        <f>F15+G15</f>
        <v>0</v>
      </c>
      <c r="I15" s="1119">
        <f>C15-H15</f>
        <v>0</v>
      </c>
      <c r="J15" s="1119" t="e">
        <f>I15/$D$7</f>
        <v>#DIV/0!</v>
      </c>
      <c r="K15" s="1122">
        <f>I15-L15</f>
        <v>0</v>
      </c>
      <c r="L15" s="1075">
        <v>0</v>
      </c>
    </row>
    <row r="16" spans="2:257" x14ac:dyDescent="0.2">
      <c r="B16" s="1068" t="s">
        <v>793</v>
      </c>
      <c r="C16" s="1069">
        <v>0</v>
      </c>
      <c r="D16" s="1123" t="e">
        <f>C16/$D$7</f>
        <v>#DIV/0!</v>
      </c>
      <c r="E16" s="1120" t="e">
        <f>+C16/$C$35</f>
        <v>#DIV/0!</v>
      </c>
      <c r="F16" s="1069">
        <v>0</v>
      </c>
      <c r="G16" s="1086">
        <v>0</v>
      </c>
      <c r="H16" s="1124">
        <f>F16+G16</f>
        <v>0</v>
      </c>
      <c r="I16" s="1119">
        <f>C16-H16</f>
        <v>0</v>
      </c>
      <c r="J16" s="1123" t="e">
        <f>I16/$D$7</f>
        <v>#DIV/0!</v>
      </c>
      <c r="K16" s="1122">
        <f>I16-L16</f>
        <v>0</v>
      </c>
      <c r="L16" s="1075">
        <v>0</v>
      </c>
    </row>
    <row r="17" spans="2:13" x14ac:dyDescent="0.2">
      <c r="B17" s="1068" t="s">
        <v>794</v>
      </c>
      <c r="C17" s="1069">
        <v>0</v>
      </c>
      <c r="D17" s="1123" t="e">
        <f>C17/$D$7</f>
        <v>#DIV/0!</v>
      </c>
      <c r="E17" s="1120" t="e">
        <f>+C17/$C$35</f>
        <v>#DIV/0!</v>
      </c>
      <c r="F17" s="1069">
        <v>0</v>
      </c>
      <c r="G17" s="1086">
        <v>0</v>
      </c>
      <c r="H17" s="1124">
        <f>F17+G17</f>
        <v>0</v>
      </c>
      <c r="I17" s="1119">
        <f>C17-H17</f>
        <v>0</v>
      </c>
      <c r="J17" s="1123" t="e">
        <f>I17/$D$7</f>
        <v>#DIV/0!</v>
      </c>
      <c r="K17" s="1122">
        <f>I17-L17</f>
        <v>0</v>
      </c>
      <c r="L17" s="1075">
        <v>0</v>
      </c>
    </row>
    <row r="18" spans="2:13" x14ac:dyDescent="0.2">
      <c r="B18" s="1077" t="s">
        <v>795</v>
      </c>
      <c r="C18" s="1114">
        <f t="shared" ref="C18:L18" si="1">SUM(C14:C17)</f>
        <v>0</v>
      </c>
      <c r="D18" s="1115" t="e">
        <f t="shared" si="1"/>
        <v>#DIV/0!</v>
      </c>
      <c r="E18" s="1125" t="e">
        <f>+C18/$C$35</f>
        <v>#DIV/0!</v>
      </c>
      <c r="F18" s="1114">
        <f t="shared" si="1"/>
        <v>0</v>
      </c>
      <c r="G18" s="1115">
        <f t="shared" si="1"/>
        <v>0</v>
      </c>
      <c r="H18" s="1117">
        <f t="shared" si="1"/>
        <v>0</v>
      </c>
      <c r="I18" s="1115">
        <f t="shared" si="1"/>
        <v>0</v>
      </c>
      <c r="J18" s="1115" t="e">
        <f t="shared" si="1"/>
        <v>#DIV/0!</v>
      </c>
      <c r="K18" s="1114">
        <f>SUM(K14:K17)</f>
        <v>0</v>
      </c>
      <c r="L18" s="1118">
        <f t="shared" si="1"/>
        <v>0</v>
      </c>
    </row>
    <row r="19" spans="2:13" ht="3" customHeight="1" x14ac:dyDescent="0.2">
      <c r="B19" s="1078"/>
      <c r="C19" s="1081"/>
      <c r="D19" s="1085"/>
      <c r="E19" s="1088"/>
      <c r="F19" s="1079"/>
      <c r="G19" s="1085"/>
      <c r="H19" s="1087"/>
      <c r="I19" s="1070"/>
      <c r="J19" s="1085"/>
      <c r="K19" s="1074"/>
      <c r="L19" s="1089"/>
    </row>
    <row r="20" spans="2:13" x14ac:dyDescent="0.2">
      <c r="B20" s="1084" t="s">
        <v>796</v>
      </c>
      <c r="C20" s="1081"/>
      <c r="D20" s="1085"/>
      <c r="E20" s="1088"/>
      <c r="F20" s="1079"/>
      <c r="G20" s="1085"/>
      <c r="H20" s="1087"/>
      <c r="I20" s="1070"/>
      <c r="J20" s="1085"/>
      <c r="K20" s="1074"/>
      <c r="L20" s="1089"/>
    </row>
    <row r="21" spans="2:13" x14ac:dyDescent="0.2">
      <c r="B21" s="1068" t="s">
        <v>797</v>
      </c>
      <c r="C21" s="1069">
        <v>0</v>
      </c>
      <c r="D21" s="1123" t="e">
        <f t="shared" ref="D21:D26" si="2">C21/$D$7</f>
        <v>#DIV/0!</v>
      </c>
      <c r="E21" s="1120" t="e">
        <f t="shared" ref="E21:E27" si="3">+C21/$C$35</f>
        <v>#DIV/0!</v>
      </c>
      <c r="F21" s="1069">
        <v>0</v>
      </c>
      <c r="G21" s="1086">
        <v>0</v>
      </c>
      <c r="H21" s="1124">
        <f t="shared" ref="H21:H26" si="4">F21+G21</f>
        <v>0</v>
      </c>
      <c r="I21" s="1119">
        <f t="shared" ref="I21:I26" si="5">C21-H21</f>
        <v>0</v>
      </c>
      <c r="J21" s="1123" t="e">
        <f t="shared" ref="J21:J26" si="6">I21/$D$7</f>
        <v>#DIV/0!</v>
      </c>
      <c r="K21" s="1122">
        <f t="shared" ref="K21:K26" si="7">I21-L21</f>
        <v>0</v>
      </c>
      <c r="L21" s="1075">
        <v>0</v>
      </c>
    </row>
    <row r="22" spans="2:13" x14ac:dyDescent="0.2">
      <c r="B22" s="1068" t="s">
        <v>798</v>
      </c>
      <c r="C22" s="1069">
        <v>0</v>
      </c>
      <c r="D22" s="1123" t="e">
        <f t="shared" si="2"/>
        <v>#DIV/0!</v>
      </c>
      <c r="E22" s="1120" t="e">
        <f t="shared" si="3"/>
        <v>#DIV/0!</v>
      </c>
      <c r="F22" s="1069">
        <v>0</v>
      </c>
      <c r="G22" s="1086">
        <v>0</v>
      </c>
      <c r="H22" s="1124">
        <f t="shared" si="4"/>
        <v>0</v>
      </c>
      <c r="I22" s="1119">
        <f t="shared" si="5"/>
        <v>0</v>
      </c>
      <c r="J22" s="1123" t="e">
        <f t="shared" si="6"/>
        <v>#DIV/0!</v>
      </c>
      <c r="K22" s="1122">
        <f t="shared" si="7"/>
        <v>0</v>
      </c>
      <c r="L22" s="1075">
        <v>0</v>
      </c>
    </row>
    <row r="23" spans="2:13" s="1090" customFormat="1" x14ac:dyDescent="0.2">
      <c r="B23" s="1068" t="s">
        <v>799</v>
      </c>
      <c r="C23" s="1071">
        <v>0</v>
      </c>
      <c r="D23" s="1123" t="e">
        <f t="shared" si="2"/>
        <v>#DIV/0!</v>
      </c>
      <c r="E23" s="1120" t="e">
        <f t="shared" si="3"/>
        <v>#DIV/0!</v>
      </c>
      <c r="F23" s="1069">
        <v>0</v>
      </c>
      <c r="G23" s="1086">
        <v>0</v>
      </c>
      <c r="H23" s="1124">
        <f t="shared" si="4"/>
        <v>0</v>
      </c>
      <c r="I23" s="1119">
        <f t="shared" si="5"/>
        <v>0</v>
      </c>
      <c r="J23" s="1123" t="e">
        <f t="shared" si="6"/>
        <v>#DIV/0!</v>
      </c>
      <c r="K23" s="1122">
        <f t="shared" si="7"/>
        <v>0</v>
      </c>
      <c r="L23" s="1075">
        <v>0</v>
      </c>
    </row>
    <row r="24" spans="2:13" x14ac:dyDescent="0.2">
      <c r="B24" s="1068" t="s">
        <v>800</v>
      </c>
      <c r="C24" s="1071">
        <v>0</v>
      </c>
      <c r="D24" s="1123" t="e">
        <f t="shared" si="2"/>
        <v>#DIV/0!</v>
      </c>
      <c r="E24" s="1120" t="e">
        <f t="shared" si="3"/>
        <v>#DIV/0!</v>
      </c>
      <c r="F24" s="1069">
        <v>0</v>
      </c>
      <c r="G24" s="1086">
        <v>0</v>
      </c>
      <c r="H24" s="1124">
        <f t="shared" si="4"/>
        <v>0</v>
      </c>
      <c r="I24" s="1119">
        <f t="shared" si="5"/>
        <v>0</v>
      </c>
      <c r="J24" s="1123" t="e">
        <f t="shared" si="6"/>
        <v>#DIV/0!</v>
      </c>
      <c r="K24" s="1122">
        <f t="shared" si="7"/>
        <v>0</v>
      </c>
      <c r="L24" s="1075">
        <v>0</v>
      </c>
      <c r="M24" s="1091"/>
    </row>
    <row r="25" spans="2:13" x14ac:dyDescent="0.2">
      <c r="B25" s="1068" t="s">
        <v>801</v>
      </c>
      <c r="C25" s="1071">
        <v>0</v>
      </c>
      <c r="D25" s="1123" t="e">
        <f t="shared" si="2"/>
        <v>#DIV/0!</v>
      </c>
      <c r="E25" s="1120" t="e">
        <f t="shared" si="3"/>
        <v>#DIV/0!</v>
      </c>
      <c r="F25" s="1069">
        <v>0</v>
      </c>
      <c r="G25" s="1086">
        <v>0</v>
      </c>
      <c r="H25" s="1124">
        <f t="shared" si="4"/>
        <v>0</v>
      </c>
      <c r="I25" s="1119">
        <f t="shared" si="5"/>
        <v>0</v>
      </c>
      <c r="J25" s="1123" t="e">
        <f t="shared" si="6"/>
        <v>#DIV/0!</v>
      </c>
      <c r="K25" s="1122">
        <f t="shared" si="7"/>
        <v>0</v>
      </c>
      <c r="L25" s="1075">
        <v>0</v>
      </c>
      <c r="M25" s="1091"/>
    </row>
    <row r="26" spans="2:13" x14ac:dyDescent="0.2">
      <c r="B26" s="1068" t="s">
        <v>802</v>
      </c>
      <c r="C26" s="1069">
        <v>0</v>
      </c>
      <c r="D26" s="1123" t="e">
        <f t="shared" si="2"/>
        <v>#DIV/0!</v>
      </c>
      <c r="E26" s="1120" t="e">
        <f t="shared" si="3"/>
        <v>#DIV/0!</v>
      </c>
      <c r="F26" s="1069">
        <v>0</v>
      </c>
      <c r="G26" s="1086">
        <v>0</v>
      </c>
      <c r="H26" s="1124">
        <f t="shared" si="4"/>
        <v>0</v>
      </c>
      <c r="I26" s="1119">
        <f t="shared" si="5"/>
        <v>0</v>
      </c>
      <c r="J26" s="1123" t="e">
        <f t="shared" si="6"/>
        <v>#DIV/0!</v>
      </c>
      <c r="K26" s="1122">
        <f t="shared" si="7"/>
        <v>0</v>
      </c>
      <c r="L26" s="1075">
        <v>0</v>
      </c>
      <c r="M26" s="1091"/>
    </row>
    <row r="27" spans="2:13" x14ac:dyDescent="0.2">
      <c r="B27" s="1077" t="s">
        <v>803</v>
      </c>
      <c r="C27" s="1114">
        <f>SUM(C21:C26)</f>
        <v>0</v>
      </c>
      <c r="D27" s="1115" t="e">
        <f>SUM(D21:D26)</f>
        <v>#DIV/0!</v>
      </c>
      <c r="E27" s="1125" t="e">
        <f t="shared" si="3"/>
        <v>#DIV/0!</v>
      </c>
      <c r="F27" s="1114">
        <f t="shared" ref="F27:L27" si="8">SUM(F21:F26)</f>
        <v>0</v>
      </c>
      <c r="G27" s="1115">
        <f t="shared" si="8"/>
        <v>0</v>
      </c>
      <c r="H27" s="1117">
        <f t="shared" si="8"/>
        <v>0</v>
      </c>
      <c r="I27" s="1115">
        <f t="shared" si="8"/>
        <v>0</v>
      </c>
      <c r="J27" s="1115" t="e">
        <f t="shared" si="8"/>
        <v>#DIV/0!</v>
      </c>
      <c r="K27" s="1114">
        <f>SUM(K21:K26)</f>
        <v>0</v>
      </c>
      <c r="L27" s="1118">
        <f t="shared" si="8"/>
        <v>0</v>
      </c>
    </row>
    <row r="28" spans="2:13" ht="3" customHeight="1" x14ac:dyDescent="0.2">
      <c r="B28" s="1092"/>
      <c r="C28" s="1079"/>
      <c r="D28" s="1085"/>
      <c r="E28" s="1088"/>
      <c r="F28" s="1079"/>
      <c r="G28" s="1085"/>
      <c r="H28" s="1087"/>
      <c r="I28" s="1085"/>
      <c r="J28" s="1085"/>
      <c r="K28" s="1074"/>
      <c r="L28" s="1089"/>
    </row>
    <row r="29" spans="2:13" x14ac:dyDescent="0.2">
      <c r="B29" s="1084" t="s">
        <v>568</v>
      </c>
      <c r="C29" s="1079"/>
      <c r="D29" s="1085"/>
      <c r="E29" s="1088"/>
      <c r="F29" s="1079"/>
      <c r="G29" s="1085"/>
      <c r="H29" s="1087"/>
      <c r="I29" s="1085"/>
      <c r="J29" s="1085"/>
      <c r="K29" s="1074"/>
      <c r="L29" s="1089"/>
    </row>
    <row r="30" spans="2:13" x14ac:dyDescent="0.2">
      <c r="B30" s="1068" t="s">
        <v>804</v>
      </c>
      <c r="C30" s="1071">
        <v>0</v>
      </c>
      <c r="D30" s="1123" t="e">
        <f>C30/$D$7</f>
        <v>#DIV/0!</v>
      </c>
      <c r="E30" s="1120" t="e">
        <f>+C30/$C$35</f>
        <v>#DIV/0!</v>
      </c>
      <c r="F30" s="1069">
        <v>0</v>
      </c>
      <c r="G30" s="1086">
        <v>0</v>
      </c>
      <c r="H30" s="1124">
        <f>F30+G30</f>
        <v>0</v>
      </c>
      <c r="I30" s="1123">
        <f>C30-H30</f>
        <v>0</v>
      </c>
      <c r="J30" s="1123" t="e">
        <f>I30/$D$7</f>
        <v>#DIV/0!</v>
      </c>
      <c r="K30" s="1122">
        <f>I30-L30</f>
        <v>0</v>
      </c>
      <c r="L30" s="1075">
        <v>0</v>
      </c>
    </row>
    <row r="31" spans="2:13" x14ac:dyDescent="0.2">
      <c r="B31" s="1068" t="s">
        <v>805</v>
      </c>
      <c r="C31" s="1069">
        <v>0</v>
      </c>
      <c r="D31" s="1123" t="e">
        <f>C31/$D$7</f>
        <v>#DIV/0!</v>
      </c>
      <c r="E31" s="1120" t="e">
        <f>+C31/$C$35</f>
        <v>#DIV/0!</v>
      </c>
      <c r="F31" s="1069">
        <v>0</v>
      </c>
      <c r="G31" s="1086">
        <v>0</v>
      </c>
      <c r="H31" s="1124">
        <f>F31+G31</f>
        <v>0</v>
      </c>
      <c r="I31" s="1123">
        <f>C31-H31</f>
        <v>0</v>
      </c>
      <c r="J31" s="1123" t="e">
        <f>I31/$D$7</f>
        <v>#DIV/0!</v>
      </c>
      <c r="K31" s="1122">
        <f>I31-L31</f>
        <v>0</v>
      </c>
      <c r="L31" s="1075">
        <v>0</v>
      </c>
    </row>
    <row r="32" spans="2:13" x14ac:dyDescent="0.2">
      <c r="B32" s="1068" t="s">
        <v>806</v>
      </c>
      <c r="C32" s="1071">
        <v>0</v>
      </c>
      <c r="D32" s="1123" t="e">
        <f>C32/$D$7</f>
        <v>#DIV/0!</v>
      </c>
      <c r="E32" s="1120" t="e">
        <f>+C32/$C$35</f>
        <v>#DIV/0!</v>
      </c>
      <c r="F32" s="1069">
        <v>0</v>
      </c>
      <c r="G32" s="1086">
        <v>0</v>
      </c>
      <c r="H32" s="1124">
        <f>F32+G32</f>
        <v>0</v>
      </c>
      <c r="I32" s="1123">
        <f>C32-H32</f>
        <v>0</v>
      </c>
      <c r="J32" s="1123" t="e">
        <f>I32/$D$7</f>
        <v>#DIV/0!</v>
      </c>
      <c r="K32" s="1122">
        <f>I32-L32</f>
        <v>0</v>
      </c>
      <c r="L32" s="1075">
        <v>0</v>
      </c>
      <c r="M32" s="1091"/>
    </row>
    <row r="33" spans="2:257" s="1040" customFormat="1" x14ac:dyDescent="0.2">
      <c r="B33" s="1077" t="s">
        <v>807</v>
      </c>
      <c r="C33" s="1114">
        <f>SUM(C30:C32)</f>
        <v>0</v>
      </c>
      <c r="D33" s="1115" t="e">
        <f>SUM(D30:D32)</f>
        <v>#DIV/0!</v>
      </c>
      <c r="E33" s="1125" t="e">
        <f>+C33/$C$35</f>
        <v>#DIV/0!</v>
      </c>
      <c r="F33" s="1114">
        <f t="shared" ref="F33:J33" si="9">SUM(F30:F32)</f>
        <v>0</v>
      </c>
      <c r="G33" s="1115">
        <f t="shared" si="9"/>
        <v>0</v>
      </c>
      <c r="H33" s="1117">
        <f t="shared" si="9"/>
        <v>0</v>
      </c>
      <c r="I33" s="1115">
        <f t="shared" si="9"/>
        <v>0</v>
      </c>
      <c r="J33" s="1115" t="e">
        <f t="shared" si="9"/>
        <v>#DIV/0!</v>
      </c>
      <c r="K33" s="1114">
        <f>SUM(K30:K32)</f>
        <v>0</v>
      </c>
      <c r="L33" s="1118">
        <f>SUM(L29:L32)</f>
        <v>0</v>
      </c>
      <c r="IW33" s="1076"/>
    </row>
    <row r="34" spans="2:257" s="1040" customFormat="1" ht="3" customHeight="1" x14ac:dyDescent="0.2">
      <c r="B34" s="1092"/>
      <c r="C34" s="1093"/>
      <c r="D34" s="1094"/>
      <c r="E34" s="1095"/>
      <c r="F34" s="1093"/>
      <c r="G34" s="1096"/>
      <c r="H34" s="1097"/>
      <c r="I34" s="1096"/>
      <c r="J34" s="1070"/>
      <c r="K34" s="1098"/>
      <c r="L34" s="1099"/>
      <c r="IW34" s="1076"/>
    </row>
    <row r="35" spans="2:257" ht="12" thickBot="1" x14ac:dyDescent="0.25">
      <c r="B35" s="1100" t="s">
        <v>808</v>
      </c>
      <c r="C35" s="1126">
        <f t="shared" ref="C35:L35" si="10">C33+C27+C18+C11</f>
        <v>0</v>
      </c>
      <c r="D35" s="1127" t="e">
        <f t="shared" si="10"/>
        <v>#DIV/0!</v>
      </c>
      <c r="E35" s="1128" t="e">
        <f>+C35/$C$35</f>
        <v>#DIV/0!</v>
      </c>
      <c r="F35" s="1126">
        <f t="shared" si="10"/>
        <v>0</v>
      </c>
      <c r="G35" s="1127">
        <f t="shared" si="10"/>
        <v>0</v>
      </c>
      <c r="H35" s="1129">
        <f t="shared" si="10"/>
        <v>0</v>
      </c>
      <c r="I35" s="1127">
        <f t="shared" si="10"/>
        <v>0</v>
      </c>
      <c r="J35" s="1127" t="e">
        <f t="shared" si="10"/>
        <v>#DIV/0!</v>
      </c>
      <c r="K35" s="1126">
        <f>K33+K27+K18+K11</f>
        <v>0</v>
      </c>
      <c r="L35" s="1130">
        <f t="shared" si="10"/>
        <v>0</v>
      </c>
    </row>
    <row r="36" spans="2:257" s="1040" customFormat="1" ht="3" customHeight="1" thickBot="1" x14ac:dyDescent="0.25">
      <c r="C36" s="1101"/>
      <c r="D36" s="1101"/>
      <c r="E36" s="1095"/>
      <c r="F36" s="1101"/>
      <c r="J36" s="1102"/>
      <c r="IW36" s="1076"/>
    </row>
    <row r="37" spans="2:257" x14ac:dyDescent="0.2">
      <c r="B37" s="1040"/>
      <c r="C37" s="1103"/>
      <c r="D37" s="481"/>
      <c r="E37" s="1104"/>
      <c r="F37" s="2295" t="s">
        <v>103</v>
      </c>
      <c r="G37" s="2296"/>
      <c r="H37" s="1105" t="e">
        <f>I35/C35</f>
        <v>#DIV/0!</v>
      </c>
      <c r="I37" s="1106"/>
      <c r="J37" s="1040"/>
      <c r="K37" s="1107"/>
      <c r="L37" s="1107"/>
    </row>
    <row r="38" spans="2:257" x14ac:dyDescent="0.2">
      <c r="B38" s="1040"/>
      <c r="C38" s="1108"/>
      <c r="D38" s="1109"/>
      <c r="E38" s="1104"/>
      <c r="F38" s="2297" t="s">
        <v>809</v>
      </c>
      <c r="G38" s="2298"/>
      <c r="H38" s="1110" t="e">
        <f>K35/C35</f>
        <v>#DIV/0!</v>
      </c>
      <c r="I38" s="1102"/>
      <c r="J38" s="1040"/>
      <c r="L38" s="1107"/>
    </row>
    <row r="39" spans="2:257" s="1040" customFormat="1" ht="12" thickBot="1" x14ac:dyDescent="0.25">
      <c r="C39" s="1103"/>
      <c r="D39" s="481"/>
      <c r="E39" s="1104"/>
      <c r="F39" s="2299" t="s">
        <v>810</v>
      </c>
      <c r="G39" s="2300"/>
      <c r="H39" s="1111" t="e">
        <f>L35/C35</f>
        <v>#DIV/0!</v>
      </c>
      <c r="I39" s="1102"/>
      <c r="K39" s="1038"/>
    </row>
    <row r="40" spans="2:257" x14ac:dyDescent="0.2">
      <c r="B40" s="1040"/>
      <c r="C40" s="1112"/>
      <c r="D40" s="481"/>
      <c r="E40" s="1104"/>
      <c r="F40" s="481"/>
      <c r="G40" s="481"/>
      <c r="H40" s="481"/>
      <c r="I40" s="481"/>
      <c r="J40" s="1113"/>
      <c r="K40" s="1076"/>
    </row>
    <row r="41" spans="2:257" x14ac:dyDescent="0.2">
      <c r="B41" s="1040"/>
      <c r="C41" s="1112"/>
      <c r="D41" s="481"/>
      <c r="E41" s="1104"/>
      <c r="F41" s="481"/>
      <c r="G41" s="481"/>
      <c r="H41" s="481"/>
      <c r="I41" s="481"/>
      <c r="J41" s="1113"/>
      <c r="K41" s="1040"/>
    </row>
  </sheetData>
  <sheetProtection formatCells="0" formatColumns="0" formatRows="0" insertColumns="0" insertRows="0"/>
  <mergeCells count="5">
    <mergeCell ref="F7:H7"/>
    <mergeCell ref="I7:J7"/>
    <mergeCell ref="F37:G37"/>
    <mergeCell ref="F38:G38"/>
    <mergeCell ref="F39:G39"/>
  </mergeCells>
  <pageMargins left="0.7" right="0.7" top="0.75" bottom="0.75" header="0.3" footer="0.3"/>
  <pageSetup fitToWidth="0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D747-7E16-4EEE-A9D5-3766C65D6F9D}">
  <dimension ref="B1:O11"/>
  <sheetViews>
    <sheetView showGridLines="0" workbookViewId="0"/>
  </sheetViews>
  <sheetFormatPr defaultRowHeight="12.75" x14ac:dyDescent="0.25"/>
  <cols>
    <col min="1" max="1" width="1.7109375" style="1332" customWidth="1"/>
    <col min="2" max="2" width="2.5703125" style="1906" bestFit="1" customWidth="1"/>
    <col min="3" max="3" width="30.7109375" style="1332" customWidth="1"/>
    <col min="4" max="5" width="14.7109375" style="3" customWidth="1"/>
    <col min="6" max="6" width="20.7109375" style="3" customWidth="1"/>
    <col min="7" max="7" width="12.7109375" style="3" hidden="1" customWidth="1"/>
    <col min="8" max="15" width="12.7109375" style="3" customWidth="1"/>
    <col min="16" max="16" width="1.7109375" style="1332" customWidth="1"/>
    <col min="17" max="16384" width="9.140625" style="1332"/>
  </cols>
  <sheetData>
    <row r="1" spans="2:15" ht="9.9499999999999993" customHeight="1" x14ac:dyDescent="0.25">
      <c r="O1" s="1936"/>
    </row>
    <row r="2" spans="2:15" ht="13.5" thickBot="1" x14ac:dyDescent="0.3"/>
    <row r="3" spans="2:15" s="1466" customFormat="1" ht="26.25" thickBot="1" x14ac:dyDescent="0.3">
      <c r="B3" s="1932"/>
      <c r="C3" s="1481" t="s">
        <v>58</v>
      </c>
      <c r="D3" s="1481" t="s">
        <v>59</v>
      </c>
      <c r="E3" s="1481" t="s">
        <v>60</v>
      </c>
      <c r="F3" s="1479" t="s">
        <v>61</v>
      </c>
      <c r="G3" s="1478" t="s">
        <v>62</v>
      </c>
      <c r="H3" s="1933" t="s">
        <v>63</v>
      </c>
      <c r="I3" s="1933" t="s">
        <v>64</v>
      </c>
      <c r="J3" s="1934" t="s">
        <v>65</v>
      </c>
      <c r="K3" s="1478" t="s">
        <v>66</v>
      </c>
      <c r="L3" s="1933" t="s">
        <v>67</v>
      </c>
      <c r="M3" s="1933" t="s">
        <v>68</v>
      </c>
      <c r="N3" s="1934" t="s">
        <v>69</v>
      </c>
      <c r="O3" s="1935" t="s">
        <v>70</v>
      </c>
    </row>
    <row r="4" spans="2:15" ht="26.25" customHeight="1" x14ac:dyDescent="0.25">
      <c r="B4" s="1909">
        <v>1</v>
      </c>
      <c r="C4" s="1910" t="s">
        <v>71</v>
      </c>
      <c r="D4" s="1937" t="s">
        <v>1</v>
      </c>
      <c r="E4" s="1937" t="s">
        <v>72</v>
      </c>
      <c r="F4" s="1940">
        <v>500</v>
      </c>
      <c r="G4" s="1913">
        <v>689</v>
      </c>
      <c r="H4" s="1914">
        <v>516</v>
      </c>
      <c r="I4" s="1914">
        <v>1226</v>
      </c>
      <c r="J4" s="1915">
        <v>515</v>
      </c>
      <c r="K4" s="1913">
        <v>1053</v>
      </c>
      <c r="L4" s="1914">
        <v>835</v>
      </c>
      <c r="M4" s="1914">
        <v>2834</v>
      </c>
      <c r="N4" s="1915">
        <v>3258</v>
      </c>
      <c r="O4" s="1916">
        <v>1645</v>
      </c>
    </row>
    <row r="5" spans="2:15" ht="26.25" customHeight="1" x14ac:dyDescent="0.25">
      <c r="B5" s="1907">
        <v>2</v>
      </c>
      <c r="C5" s="1911" t="s">
        <v>73</v>
      </c>
      <c r="D5" s="1938" t="s">
        <v>1</v>
      </c>
      <c r="E5" s="1938" t="s">
        <v>72</v>
      </c>
      <c r="F5" s="1941">
        <v>18000</v>
      </c>
      <c r="G5" s="1917">
        <v>16139</v>
      </c>
      <c r="H5" s="1918">
        <v>26294</v>
      </c>
      <c r="I5" s="1918">
        <v>20153</v>
      </c>
      <c r="J5" s="1919">
        <v>21502</v>
      </c>
      <c r="K5" s="1917">
        <v>28287</v>
      </c>
      <c r="L5" s="1918">
        <v>29491</v>
      </c>
      <c r="M5" s="1918">
        <v>33164</v>
      </c>
      <c r="N5" s="1919">
        <v>31929</v>
      </c>
      <c r="O5" s="1920">
        <v>30989</v>
      </c>
    </row>
    <row r="6" spans="2:15" ht="26.25" customHeight="1" x14ac:dyDescent="0.25">
      <c r="B6" s="1907">
        <v>3</v>
      </c>
      <c r="C6" s="1911" t="s">
        <v>74</v>
      </c>
      <c r="D6" s="1938" t="s">
        <v>1</v>
      </c>
      <c r="E6" s="1938" t="s">
        <v>72</v>
      </c>
      <c r="F6" s="1942">
        <v>3.5</v>
      </c>
      <c r="G6" s="1921">
        <v>3.88</v>
      </c>
      <c r="H6" s="1922">
        <v>2.44</v>
      </c>
      <c r="I6" s="1922">
        <v>3.17</v>
      </c>
      <c r="J6" s="1923">
        <v>3.12</v>
      </c>
      <c r="K6" s="1921">
        <v>2.61</v>
      </c>
      <c r="L6" s="1922">
        <v>2.41</v>
      </c>
      <c r="M6" s="1922" t="s">
        <v>75</v>
      </c>
      <c r="N6" s="1923">
        <v>2.2400000000000002</v>
      </c>
      <c r="O6" s="1924">
        <v>2.86</v>
      </c>
    </row>
    <row r="7" spans="2:15" ht="26.25" customHeight="1" x14ac:dyDescent="0.25">
      <c r="B7" s="1907">
        <v>4</v>
      </c>
      <c r="C7" s="1911" t="s">
        <v>76</v>
      </c>
      <c r="D7" s="1938" t="s">
        <v>1</v>
      </c>
      <c r="E7" s="1938" t="s">
        <v>72</v>
      </c>
      <c r="F7" s="1943">
        <v>0.6</v>
      </c>
      <c r="G7" s="1925">
        <v>0.55600000000000005</v>
      </c>
      <c r="H7" s="1926">
        <v>0.55600000000000005</v>
      </c>
      <c r="I7" s="1926">
        <v>0.59899999999999998</v>
      </c>
      <c r="J7" s="1927">
        <v>0.54500000000000004</v>
      </c>
      <c r="K7" s="1925">
        <v>0.23899999999999999</v>
      </c>
      <c r="L7" s="1926">
        <v>0.3</v>
      </c>
      <c r="M7" s="1926">
        <v>0.48499999999999999</v>
      </c>
      <c r="N7" s="1927">
        <v>0.50900000000000001</v>
      </c>
      <c r="O7" s="1928">
        <v>0.46700000000000003</v>
      </c>
    </row>
    <row r="8" spans="2:15" ht="26.25" customHeight="1" x14ac:dyDescent="0.25">
      <c r="B8" s="1907">
        <v>5</v>
      </c>
      <c r="C8" s="1911" t="s">
        <v>77</v>
      </c>
      <c r="D8" s="1938" t="s">
        <v>1</v>
      </c>
      <c r="E8" s="1938" t="s">
        <v>72</v>
      </c>
      <c r="F8" s="1943">
        <v>0.2</v>
      </c>
      <c r="G8" s="1925">
        <v>0</v>
      </c>
      <c r="H8" s="1926">
        <v>0</v>
      </c>
      <c r="I8" s="1926">
        <v>0</v>
      </c>
      <c r="J8" s="1927">
        <v>0</v>
      </c>
      <c r="K8" s="1925">
        <v>0</v>
      </c>
      <c r="L8" s="1926">
        <v>0</v>
      </c>
      <c r="M8" s="1926">
        <v>0.04</v>
      </c>
      <c r="N8" s="1927">
        <v>9.4E-2</v>
      </c>
      <c r="O8" s="1928">
        <v>0.14000000000000001</v>
      </c>
    </row>
    <row r="9" spans="2:15" ht="26.25" customHeight="1" thickBot="1" x14ac:dyDescent="0.3">
      <c r="B9" s="1908">
        <v>6</v>
      </c>
      <c r="C9" s="1912" t="s">
        <v>78</v>
      </c>
      <c r="D9" s="1939" t="s">
        <v>1</v>
      </c>
      <c r="E9" s="1939" t="s">
        <v>79</v>
      </c>
      <c r="F9" s="1944" t="s">
        <v>80</v>
      </c>
      <c r="G9" s="1929" t="s">
        <v>25</v>
      </c>
      <c r="H9" s="1930" t="s">
        <v>25</v>
      </c>
      <c r="I9" s="1930" t="s">
        <v>25</v>
      </c>
      <c r="J9" s="1945">
        <v>0</v>
      </c>
      <c r="K9" s="1929" t="s">
        <v>25</v>
      </c>
      <c r="L9" s="1930" t="s">
        <v>25</v>
      </c>
      <c r="M9" s="1930" t="s">
        <v>25</v>
      </c>
      <c r="N9" s="1945">
        <v>0.61</v>
      </c>
      <c r="O9" s="1931" t="s">
        <v>25</v>
      </c>
    </row>
    <row r="10" spans="2:15" ht="9.9499999999999993" customHeight="1" x14ac:dyDescent="0.25"/>
    <row r="11" spans="2:15" x14ac:dyDescent="0.25">
      <c r="B11" s="1906" t="s">
        <v>81</v>
      </c>
      <c r="C11" s="1964" t="s">
        <v>82</v>
      </c>
      <c r="D11" s="1964"/>
      <c r="E11" s="1964"/>
      <c r="F11" s="1964"/>
      <c r="G11" s="1964"/>
      <c r="H11" s="1964"/>
      <c r="I11" s="1964"/>
      <c r="J11" s="1964"/>
      <c r="K11" s="1964"/>
      <c r="L11" s="1964"/>
      <c r="M11" s="1964"/>
      <c r="N11" s="1964"/>
      <c r="O11" s="1964"/>
    </row>
  </sheetData>
  <mergeCells count="1">
    <mergeCell ref="C11:O1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A7D1-9F58-4770-BFAB-77E3611CC496}">
  <dimension ref="B1:M14"/>
  <sheetViews>
    <sheetView showGridLines="0" zoomScaleNormal="100" workbookViewId="0">
      <selection activeCell="C2" sqref="C2:E2"/>
    </sheetView>
  </sheetViews>
  <sheetFormatPr defaultColWidth="8.85546875" defaultRowHeight="12.75" x14ac:dyDescent="0.2"/>
  <cols>
    <col min="1" max="1" width="1.7109375" style="11" customWidth="1"/>
    <col min="2" max="2" width="11.85546875" style="11" bestFit="1" customWidth="1"/>
    <col min="3" max="5" width="10.7109375" style="11" customWidth="1"/>
    <col min="6" max="6" width="0.85546875" style="11" customWidth="1"/>
    <col min="7" max="7" width="10.7109375" style="11" customWidth="1"/>
    <col min="8" max="9" width="11.85546875" style="11" bestFit="1" customWidth="1"/>
    <col min="10" max="10" width="0.85546875" style="11" hidden="1" customWidth="1"/>
    <col min="11" max="11" width="8.5703125" style="11" hidden="1" customWidth="1"/>
    <col min="12" max="13" width="9.85546875" style="11" hidden="1" customWidth="1"/>
    <col min="14" max="16384" width="8.85546875" style="11"/>
  </cols>
  <sheetData>
    <row r="1" spans="2:13" ht="9.9499999999999993" customHeight="1" thickBot="1" x14ac:dyDescent="0.25"/>
    <row r="2" spans="2:13" s="347" customFormat="1" x14ac:dyDescent="0.2">
      <c r="B2" s="2301" t="s">
        <v>457</v>
      </c>
      <c r="C2" s="2303">
        <v>2018</v>
      </c>
      <c r="D2" s="2304"/>
      <c r="E2" s="2305"/>
      <c r="F2" s="1876"/>
      <c r="G2" s="2303">
        <v>2019</v>
      </c>
      <c r="H2" s="2304"/>
      <c r="I2" s="2306"/>
      <c r="J2" s="1876"/>
      <c r="K2" s="2307">
        <v>42825</v>
      </c>
      <c r="L2" s="2304"/>
      <c r="M2" s="2306"/>
    </row>
    <row r="3" spans="2:13" s="347" customFormat="1" x14ac:dyDescent="0.2">
      <c r="B3" s="2302"/>
      <c r="C3" s="1877" t="s">
        <v>1</v>
      </c>
      <c r="D3" s="1878" t="s">
        <v>458</v>
      </c>
      <c r="E3" s="1879" t="s">
        <v>240</v>
      </c>
      <c r="G3" s="1877" t="s">
        <v>1</v>
      </c>
      <c r="H3" s="1878" t="s">
        <v>458</v>
      </c>
      <c r="I3" s="1880" t="s">
        <v>240</v>
      </c>
      <c r="K3" s="1877" t="s">
        <v>459</v>
      </c>
      <c r="L3" s="1878" t="s">
        <v>458</v>
      </c>
      <c r="M3" s="1880" t="s">
        <v>240</v>
      </c>
    </row>
    <row r="4" spans="2:13" x14ac:dyDescent="0.2">
      <c r="B4" s="503" t="s">
        <v>460</v>
      </c>
      <c r="C4" s="454">
        <v>0</v>
      </c>
      <c r="D4" s="455">
        <v>0</v>
      </c>
      <c r="E4" s="1881">
        <f>+C4+D4</f>
        <v>0</v>
      </c>
      <c r="G4" s="454">
        <v>0</v>
      </c>
      <c r="H4" s="455">
        <v>0</v>
      </c>
      <c r="I4" s="1882">
        <f>+G4+H4</f>
        <v>0</v>
      </c>
      <c r="K4" s="454">
        <v>0</v>
      </c>
      <c r="L4" s="455">
        <v>0</v>
      </c>
      <c r="M4" s="1883">
        <f>+K4+L4</f>
        <v>0</v>
      </c>
    </row>
    <row r="5" spans="2:13" x14ac:dyDescent="0.2">
      <c r="B5" s="503" t="str">
        <f>+B4</f>
        <v>Project</v>
      </c>
      <c r="C5" s="454">
        <v>0</v>
      </c>
      <c r="D5" s="455">
        <v>0</v>
      </c>
      <c r="E5" s="1881">
        <f>+C5+D5</f>
        <v>0</v>
      </c>
      <c r="G5" s="454">
        <v>0</v>
      </c>
      <c r="H5" s="455">
        <v>0</v>
      </c>
      <c r="I5" s="1882">
        <f>+G5+H5</f>
        <v>0</v>
      </c>
      <c r="K5" s="454">
        <v>0</v>
      </c>
      <c r="L5" s="455">
        <v>0</v>
      </c>
      <c r="M5" s="1883">
        <f>+K5+L5</f>
        <v>0</v>
      </c>
    </row>
    <row r="6" spans="2:13" x14ac:dyDescent="0.2">
      <c r="B6" s="503" t="str">
        <f>+B5</f>
        <v>Project</v>
      </c>
      <c r="C6" s="454">
        <v>0</v>
      </c>
      <c r="D6" s="455">
        <v>0</v>
      </c>
      <c r="E6" s="1881">
        <f>+C6+D6</f>
        <v>0</v>
      </c>
      <c r="G6" s="454">
        <v>0</v>
      </c>
      <c r="H6" s="455">
        <v>0</v>
      </c>
      <c r="I6" s="1882">
        <f>+G6+H6</f>
        <v>0</v>
      </c>
      <c r="K6" s="454">
        <v>0</v>
      </c>
      <c r="L6" s="455">
        <v>0</v>
      </c>
      <c r="M6" s="1883">
        <f>+K6+L6</f>
        <v>0</v>
      </c>
    </row>
    <row r="7" spans="2:13" ht="13.5" thickBot="1" x14ac:dyDescent="0.25">
      <c r="B7" s="503" t="str">
        <f>+B6</f>
        <v>Project</v>
      </c>
      <c r="C7" s="1884">
        <v>0</v>
      </c>
      <c r="D7" s="462">
        <v>0</v>
      </c>
      <c r="E7" s="1885">
        <f>+C7+D7</f>
        <v>0</v>
      </c>
      <c r="G7" s="1884">
        <v>0</v>
      </c>
      <c r="H7" s="462">
        <v>0</v>
      </c>
      <c r="I7" s="1886">
        <f>+G7+H7</f>
        <v>0</v>
      </c>
      <c r="K7" s="1884">
        <v>0</v>
      </c>
      <c r="L7" s="462">
        <v>0</v>
      </c>
      <c r="M7" s="1887">
        <f>+K7+L7</f>
        <v>0</v>
      </c>
    </row>
    <row r="8" spans="2:13" s="347" customFormat="1" ht="14.25" thickTop="1" thickBot="1" x14ac:dyDescent="0.25">
      <c r="B8" s="1888"/>
      <c r="C8" s="1889">
        <f>SUM(C4:C7)</f>
        <v>0</v>
      </c>
      <c r="D8" s="1890">
        <f>SUM(D4:D7)</f>
        <v>0</v>
      </c>
      <c r="E8" s="1891">
        <f>SUM(E4:E7)</f>
        <v>0</v>
      </c>
      <c r="G8" s="1889">
        <f>SUM(G4:G7)</f>
        <v>0</v>
      </c>
      <c r="H8" s="1890">
        <f>SUM(H4:H7)</f>
        <v>0</v>
      </c>
      <c r="I8" s="1892">
        <f>SUM(I4:I7)</f>
        <v>0</v>
      </c>
      <c r="J8" s="1893"/>
      <c r="K8" s="1894">
        <f>SUM(K4:K7)</f>
        <v>0</v>
      </c>
      <c r="L8" s="1895">
        <f>SUM(L4:L7)</f>
        <v>0</v>
      </c>
      <c r="M8" s="1896">
        <f>SUM(M4:M7)</f>
        <v>0</v>
      </c>
    </row>
    <row r="9" spans="2:13" s="347" customFormat="1" x14ac:dyDescent="0.2">
      <c r="B9" s="1897" t="s">
        <v>461</v>
      </c>
      <c r="C9" s="1898">
        <v>0</v>
      </c>
      <c r="D9" s="1899">
        <v>0</v>
      </c>
      <c r="E9" s="1900">
        <f>C9+D9</f>
        <v>0</v>
      </c>
      <c r="F9" s="1901"/>
      <c r="G9" s="1898">
        <v>0</v>
      </c>
      <c r="H9" s="1899">
        <v>0</v>
      </c>
      <c r="I9" s="1902">
        <f>G9+H9</f>
        <v>0</v>
      </c>
      <c r="K9" s="1903"/>
      <c r="L9" s="1903"/>
      <c r="M9" s="1903"/>
    </row>
    <row r="10" spans="2:13" s="347" customFormat="1" ht="13.5" thickBot="1" x14ac:dyDescent="0.25">
      <c r="B10" s="1888" t="s">
        <v>172</v>
      </c>
      <c r="C10" s="1889">
        <f>+C8+C9</f>
        <v>0</v>
      </c>
      <c r="D10" s="1890">
        <f>+D8+D9</f>
        <v>0</v>
      </c>
      <c r="E10" s="1891">
        <f>+C10+D10</f>
        <v>0</v>
      </c>
      <c r="F10" s="1893"/>
      <c r="G10" s="1889">
        <f>+G8+G9</f>
        <v>0</v>
      </c>
      <c r="H10" s="1890">
        <f>+H8+H9</f>
        <v>0</v>
      </c>
      <c r="I10" s="1892">
        <f>+G10+H10</f>
        <v>0</v>
      </c>
      <c r="K10" s="1903"/>
      <c r="L10" s="1903"/>
      <c r="M10" s="1903"/>
    </row>
    <row r="12" spans="2:13" x14ac:dyDescent="0.2">
      <c r="C12" s="1904">
        <v>757736</v>
      </c>
      <c r="D12" s="1904">
        <v>6584785</v>
      </c>
      <c r="E12" s="1904">
        <f>+C12+D12</f>
        <v>7342521</v>
      </c>
      <c r="F12" s="1904"/>
      <c r="G12" s="1904">
        <v>1009739</v>
      </c>
      <c r="H12" s="1904">
        <v>11061962</v>
      </c>
      <c r="I12" s="1904">
        <f>+G12+H12</f>
        <v>12071701</v>
      </c>
    </row>
    <row r="14" spans="2:13" x14ac:dyDescent="0.2">
      <c r="C14" s="1905">
        <f>+C8-C12</f>
        <v>-757736</v>
      </c>
      <c r="D14" s="1905">
        <f>+D8-D12</f>
        <v>-6584785</v>
      </c>
      <c r="E14" s="1905">
        <f>+E8-E12</f>
        <v>-7342521</v>
      </c>
      <c r="F14" s="1905"/>
      <c r="G14" s="1905">
        <f>+G8-G12</f>
        <v>-1009739</v>
      </c>
      <c r="H14" s="1905">
        <f>+H8-H12</f>
        <v>-11061962</v>
      </c>
      <c r="I14" s="1905">
        <f>+I8-I12</f>
        <v>-12071701</v>
      </c>
    </row>
  </sheetData>
  <sheetProtection formatCells="0" formatColumns="0" formatRows="0" insertColumns="0" insertRows="0"/>
  <mergeCells count="4">
    <mergeCell ref="B2:B3"/>
    <mergeCell ref="C2:E2"/>
    <mergeCell ref="G2:I2"/>
    <mergeCell ref="K2:M2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6964-C6BD-4268-8EBD-A7A02C36426C}">
  <dimension ref="A1:C30"/>
  <sheetViews>
    <sheetView showGridLines="0" zoomScaleNormal="100" workbookViewId="0">
      <selection activeCell="A8" sqref="A8"/>
    </sheetView>
  </sheetViews>
  <sheetFormatPr defaultColWidth="9.140625" defaultRowHeight="12.75" x14ac:dyDescent="0.25"/>
  <cols>
    <col min="1" max="1" width="13.7109375" style="1343" customWidth="1"/>
    <col min="2" max="2" width="84.28515625" style="1342" bestFit="1" customWidth="1"/>
    <col min="3" max="3" width="13.7109375" style="1344" customWidth="1"/>
    <col min="4" max="16384" width="9.140625" style="1342"/>
  </cols>
  <sheetData>
    <row r="1" spans="1:3" ht="15" customHeight="1" x14ac:dyDescent="0.25">
      <c r="A1" s="1345" t="s">
        <v>700</v>
      </c>
      <c r="B1" s="1346" t="s">
        <v>811</v>
      </c>
      <c r="C1" s="1347" t="s">
        <v>812</v>
      </c>
    </row>
    <row r="2" spans="1:3" ht="30" customHeight="1" x14ac:dyDescent="0.25">
      <c r="A2" s="1348">
        <v>45678</v>
      </c>
      <c r="B2" s="1349" t="s">
        <v>813</v>
      </c>
      <c r="C2" s="1350" t="s">
        <v>814</v>
      </c>
    </row>
    <row r="3" spans="1:3" ht="30" customHeight="1" x14ac:dyDescent="0.25">
      <c r="A3" s="1348">
        <v>45715</v>
      </c>
      <c r="B3" s="1349" t="s">
        <v>815</v>
      </c>
      <c r="C3" s="1350" t="s">
        <v>814</v>
      </c>
    </row>
    <row r="4" spans="1:3" ht="30" customHeight="1" x14ac:dyDescent="0.25">
      <c r="A4" s="1348">
        <v>45727</v>
      </c>
      <c r="B4" s="1349" t="s">
        <v>816</v>
      </c>
      <c r="C4" s="1350" t="s">
        <v>814</v>
      </c>
    </row>
    <row r="5" spans="1:3" ht="30" customHeight="1" x14ac:dyDescent="0.25">
      <c r="A5" s="1348">
        <v>45727</v>
      </c>
      <c r="B5" s="1349" t="s">
        <v>817</v>
      </c>
      <c r="C5" s="1350" t="s">
        <v>814</v>
      </c>
    </row>
    <row r="6" spans="1:3" ht="30" customHeight="1" x14ac:dyDescent="0.25">
      <c r="A6" s="1348">
        <v>45818</v>
      </c>
      <c r="B6" s="1349" t="s">
        <v>818</v>
      </c>
      <c r="C6" s="1350" t="s">
        <v>819</v>
      </c>
    </row>
    <row r="7" spans="1:3" ht="30" customHeight="1" x14ac:dyDescent="0.25">
      <c r="A7" s="1348">
        <v>45819</v>
      </c>
      <c r="B7" s="1349" t="s">
        <v>820</v>
      </c>
      <c r="C7" s="1350" t="s">
        <v>819</v>
      </c>
    </row>
    <row r="8" spans="1:3" ht="30" customHeight="1" x14ac:dyDescent="0.25">
      <c r="A8" s="1348"/>
      <c r="B8" s="1349"/>
      <c r="C8" s="1350"/>
    </row>
    <row r="9" spans="1:3" ht="30" customHeight="1" x14ac:dyDescent="0.25">
      <c r="A9" s="1348"/>
      <c r="B9" s="1349"/>
      <c r="C9" s="1350"/>
    </row>
    <row r="10" spans="1:3" ht="30" customHeight="1" x14ac:dyDescent="0.25">
      <c r="A10" s="1348"/>
      <c r="B10" s="1349"/>
      <c r="C10" s="1350"/>
    </row>
    <row r="11" spans="1:3" ht="30" customHeight="1" x14ac:dyDescent="0.25">
      <c r="A11" s="1348"/>
      <c r="B11" s="1349"/>
      <c r="C11" s="1350"/>
    </row>
    <row r="12" spans="1:3" ht="30" customHeight="1" x14ac:dyDescent="0.25">
      <c r="A12" s="1348"/>
      <c r="B12" s="1349"/>
      <c r="C12" s="1350"/>
    </row>
    <row r="13" spans="1:3" ht="30" customHeight="1" x14ac:dyDescent="0.25">
      <c r="A13" s="1348"/>
      <c r="B13" s="1349"/>
      <c r="C13" s="1350"/>
    </row>
    <row r="14" spans="1:3" ht="30" customHeight="1" x14ac:dyDescent="0.25">
      <c r="A14" s="1348"/>
      <c r="B14" s="1349"/>
      <c r="C14" s="1350"/>
    </row>
    <row r="15" spans="1:3" ht="30" customHeight="1" x14ac:dyDescent="0.25">
      <c r="A15" s="1348"/>
      <c r="B15" s="1349"/>
      <c r="C15" s="1350"/>
    </row>
    <row r="16" spans="1:3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E2DD2-E581-4ADF-9F3E-C674866BB254}">
  <dimension ref="B1:V57"/>
  <sheetViews>
    <sheetView showGridLines="0" workbookViewId="0"/>
  </sheetViews>
  <sheetFormatPr defaultRowHeight="12.75" x14ac:dyDescent="0.25"/>
  <cols>
    <col min="1" max="2" width="1.7109375" style="1430" customWidth="1"/>
    <col min="3" max="3" width="3.85546875" style="1774" bestFit="1" customWidth="1"/>
    <col min="4" max="4" width="12.28515625" style="1431" bestFit="1" customWidth="1"/>
    <col min="5" max="5" width="14.7109375" style="1431" customWidth="1"/>
    <col min="6" max="6" width="40.7109375" style="1775" customWidth="1"/>
    <col min="7" max="7" width="12.7109375" style="1431" customWidth="1"/>
    <col min="8" max="9" width="12.7109375" style="1777" customWidth="1"/>
    <col min="10" max="10" width="12.7109375" style="1778" customWidth="1"/>
    <col min="11" max="11" width="12.7109375" style="1777" customWidth="1"/>
    <col min="12" max="12" width="12.7109375" style="1778" customWidth="1"/>
    <col min="13" max="13" width="14.7109375" style="1443" customWidth="1"/>
    <col min="14" max="14" width="12.7109375" style="1776" customWidth="1"/>
    <col min="15" max="17" width="14.7109375" style="1443" customWidth="1"/>
    <col min="18" max="19" width="10.7109375" style="1449" customWidth="1"/>
    <col min="20" max="20" width="1.7109375" style="1430" customWidth="1"/>
    <col min="21" max="21" width="5.7109375" style="1430" customWidth="1"/>
    <col min="22" max="22" width="18.42578125" style="1430" bestFit="1" customWidth="1"/>
    <col min="23" max="16384" width="9.140625" style="1430"/>
  </cols>
  <sheetData>
    <row r="1" spans="2:22" ht="9.9499999999999993" customHeight="1" x14ac:dyDescent="0.25"/>
    <row r="2" spans="2:22" s="1189" customFormat="1" ht="12" x14ac:dyDescent="0.25">
      <c r="B2" s="155" t="s">
        <v>83</v>
      </c>
      <c r="C2" s="1779"/>
      <c r="H2" s="1780"/>
      <c r="I2" s="1780"/>
      <c r="J2" s="1781"/>
      <c r="K2" s="1780"/>
      <c r="L2" s="1781"/>
      <c r="M2" s="1782"/>
      <c r="N2" s="1206"/>
      <c r="O2" s="1782"/>
      <c r="P2" s="1782"/>
      <c r="Q2" s="1782"/>
      <c r="R2" s="1783"/>
      <c r="S2" s="1783"/>
    </row>
    <row r="3" spans="2:22" s="1792" customFormat="1" ht="24.95" customHeight="1" x14ac:dyDescent="0.25">
      <c r="B3" s="1784"/>
      <c r="C3" s="1785"/>
      <c r="D3" s="1784" t="str">
        <f>F3</f>
        <v>REQUIRED</v>
      </c>
      <c r="E3" s="1784" t="s">
        <v>84</v>
      </c>
      <c r="F3" s="1784" t="str">
        <f>G3</f>
        <v>REQUIRED</v>
      </c>
      <c r="G3" s="1786" t="s">
        <v>85</v>
      </c>
      <c r="H3" s="1788" t="str">
        <f>G3</f>
        <v>REQUIRED</v>
      </c>
      <c r="I3" s="1788" t="str">
        <f>H3</f>
        <v>REQUIRED</v>
      </c>
      <c r="J3" s="1789" t="s">
        <v>86</v>
      </c>
      <c r="K3" s="1788" t="s">
        <v>84</v>
      </c>
      <c r="L3" s="1789" t="s">
        <v>86</v>
      </c>
      <c r="M3" s="1788" t="str">
        <f>I3</f>
        <v>REQUIRED</v>
      </c>
      <c r="N3" s="1787" t="str">
        <f>E3</f>
        <v>Hide if Not Used</v>
      </c>
      <c r="O3" s="1788" t="str">
        <f>M3</f>
        <v>REQUIRED</v>
      </c>
      <c r="P3" s="1790" t="s">
        <v>87</v>
      </c>
      <c r="Q3" s="1790" t="s">
        <v>85</v>
      </c>
      <c r="R3" s="1791" t="s">
        <v>86</v>
      </c>
      <c r="S3" s="1791" t="s">
        <v>86</v>
      </c>
      <c r="T3" s="1784"/>
      <c r="U3" s="1784"/>
      <c r="V3" s="1784"/>
    </row>
    <row r="4" spans="2:22" x14ac:dyDescent="0.25">
      <c r="V4" s="1793"/>
    </row>
    <row r="5" spans="2:22" x14ac:dyDescent="0.25">
      <c r="V5" s="1793"/>
    </row>
    <row r="6" spans="2:22" s="1448" customFormat="1" ht="39.950000000000003" customHeight="1" x14ac:dyDescent="0.25">
      <c r="B6" s="1814"/>
      <c r="C6" s="1815"/>
      <c r="D6" s="1816" t="s">
        <v>88</v>
      </c>
      <c r="E6" s="1816" t="s">
        <v>89</v>
      </c>
      <c r="F6" s="1816" t="s">
        <v>90</v>
      </c>
      <c r="G6" s="1816" t="s">
        <v>91</v>
      </c>
      <c r="H6" s="1818" t="s">
        <v>92</v>
      </c>
      <c r="I6" s="1818" t="s">
        <v>93</v>
      </c>
      <c r="J6" s="1819" t="s">
        <v>94</v>
      </c>
      <c r="K6" s="1818" t="s">
        <v>95</v>
      </c>
      <c r="L6" s="1819" t="s">
        <v>96</v>
      </c>
      <c r="M6" s="1820" t="s">
        <v>97</v>
      </c>
      <c r="N6" s="1817" t="s">
        <v>98</v>
      </c>
      <c r="O6" s="1820" t="s">
        <v>99</v>
      </c>
      <c r="P6" s="1820" t="s">
        <v>100</v>
      </c>
      <c r="Q6" s="1820" t="s">
        <v>101</v>
      </c>
      <c r="R6" s="1821" t="s">
        <v>102</v>
      </c>
      <c r="S6" s="1821" t="s">
        <v>103</v>
      </c>
      <c r="T6" s="1822"/>
      <c r="V6" s="1794"/>
    </row>
    <row r="7" spans="2:22" ht="15" customHeight="1" x14ac:dyDescent="0.25">
      <c r="B7" s="1795"/>
      <c r="C7" s="1796">
        <v>1</v>
      </c>
      <c r="D7" s="1769"/>
      <c r="E7" s="1769"/>
      <c r="F7" s="1770"/>
      <c r="G7" s="1769"/>
      <c r="H7" s="1773"/>
      <c r="I7" s="1771"/>
      <c r="J7" s="1802" t="str">
        <f>IF(I7&gt;0,((I7-H7)/30.416666),"")</f>
        <v/>
      </c>
      <c r="K7" s="1773"/>
      <c r="L7" s="1802" t="str">
        <f>IF(K7&gt;0,((K7-H7)/30.416666),"")</f>
        <v/>
      </c>
      <c r="M7" s="1772"/>
      <c r="N7" s="1797"/>
      <c r="O7" s="1772"/>
      <c r="P7" s="1772"/>
      <c r="Q7" s="1772"/>
      <c r="R7" s="1803" t="str">
        <f>IF(O7&gt;0,M7/O7,"")</f>
        <v/>
      </c>
      <c r="S7" s="1803" t="str">
        <f>IF(Q7&gt;0,M7/Q7,"")</f>
        <v/>
      </c>
      <c r="T7" s="1798"/>
      <c r="V7" s="1793"/>
    </row>
    <row r="8" spans="2:22" ht="15" customHeight="1" x14ac:dyDescent="0.25">
      <c r="B8" s="1795"/>
      <c r="C8" s="1796">
        <v>2</v>
      </c>
      <c r="D8" s="1769"/>
      <c r="E8" s="1769"/>
      <c r="F8" s="1770"/>
      <c r="G8" s="1769"/>
      <c r="H8" s="1773"/>
      <c r="I8" s="1771"/>
      <c r="J8" s="1802" t="str">
        <f t="shared" ref="J8:J31" si="0">IF(I8&gt;0,((I8-H8)/30.416666),"")</f>
        <v/>
      </c>
      <c r="K8" s="1773"/>
      <c r="L8" s="1802" t="str">
        <f t="shared" ref="L8:L31" si="1">IF(K8&gt;0,((K8-H8)/30.416666),"")</f>
        <v/>
      </c>
      <c r="M8" s="1772"/>
      <c r="N8" s="1797"/>
      <c r="O8" s="1772"/>
      <c r="P8" s="1772"/>
      <c r="Q8" s="1772"/>
      <c r="R8" s="1803" t="str">
        <f t="shared" ref="R8:R31" si="2">IF(O8&gt;0,M8/O8,"")</f>
        <v/>
      </c>
      <c r="S8" s="1803" t="str">
        <f t="shared" ref="S8:S31" si="3">IF(Q8&gt;0,M8/Q8,"")</f>
        <v/>
      </c>
      <c r="T8" s="1798"/>
      <c r="V8" s="1793"/>
    </row>
    <row r="9" spans="2:22" ht="15" customHeight="1" x14ac:dyDescent="0.25">
      <c r="B9" s="1795"/>
      <c r="C9" s="1796">
        <v>3</v>
      </c>
      <c r="D9" s="1769"/>
      <c r="E9" s="1769"/>
      <c r="F9" s="1770"/>
      <c r="G9" s="1769"/>
      <c r="H9" s="1773"/>
      <c r="I9" s="1771"/>
      <c r="J9" s="1802" t="str">
        <f t="shared" si="0"/>
        <v/>
      </c>
      <c r="K9" s="1773"/>
      <c r="L9" s="1802" t="str">
        <f t="shared" si="1"/>
        <v/>
      </c>
      <c r="M9" s="1772"/>
      <c r="N9" s="1797"/>
      <c r="O9" s="1772"/>
      <c r="P9" s="1772"/>
      <c r="Q9" s="1772"/>
      <c r="R9" s="1803" t="str">
        <f t="shared" si="2"/>
        <v/>
      </c>
      <c r="S9" s="1803" t="str">
        <f t="shared" si="3"/>
        <v/>
      </c>
      <c r="T9" s="1798"/>
      <c r="V9" s="1793"/>
    </row>
    <row r="10" spans="2:22" ht="15" customHeight="1" x14ac:dyDescent="0.25">
      <c r="B10" s="1795"/>
      <c r="C10" s="1796">
        <v>4</v>
      </c>
      <c r="D10" s="1769"/>
      <c r="E10" s="1769"/>
      <c r="F10" s="1770"/>
      <c r="G10" s="1769"/>
      <c r="H10" s="1773"/>
      <c r="I10" s="1771"/>
      <c r="J10" s="1802" t="str">
        <f t="shared" si="0"/>
        <v/>
      </c>
      <c r="K10" s="1773"/>
      <c r="L10" s="1802" t="str">
        <f t="shared" si="1"/>
        <v/>
      </c>
      <c r="M10" s="1772"/>
      <c r="N10" s="1797"/>
      <c r="O10" s="1772"/>
      <c r="P10" s="1772"/>
      <c r="Q10" s="1772"/>
      <c r="R10" s="1803" t="str">
        <f t="shared" si="2"/>
        <v/>
      </c>
      <c r="S10" s="1803" t="str">
        <f t="shared" si="3"/>
        <v/>
      </c>
      <c r="T10" s="1798"/>
      <c r="V10" s="1793"/>
    </row>
    <row r="11" spans="2:22" ht="15" customHeight="1" x14ac:dyDescent="0.25">
      <c r="B11" s="1795"/>
      <c r="C11" s="1796">
        <v>5</v>
      </c>
      <c r="D11" s="1769"/>
      <c r="E11" s="1769"/>
      <c r="F11" s="1770"/>
      <c r="G11" s="1769"/>
      <c r="H11" s="1773"/>
      <c r="I11" s="1771"/>
      <c r="J11" s="1802" t="str">
        <f t="shared" si="0"/>
        <v/>
      </c>
      <c r="K11" s="1773"/>
      <c r="L11" s="1802" t="str">
        <f t="shared" si="1"/>
        <v/>
      </c>
      <c r="M11" s="1772"/>
      <c r="N11" s="1797"/>
      <c r="O11" s="1772"/>
      <c r="P11" s="1772"/>
      <c r="Q11" s="1772"/>
      <c r="R11" s="1803" t="str">
        <f t="shared" si="2"/>
        <v/>
      </c>
      <c r="S11" s="1803" t="str">
        <f t="shared" si="3"/>
        <v/>
      </c>
      <c r="T11" s="1798"/>
      <c r="V11" s="1793"/>
    </row>
    <row r="12" spans="2:22" ht="15" customHeight="1" x14ac:dyDescent="0.25">
      <c r="B12" s="1795"/>
      <c r="C12" s="1796">
        <v>6</v>
      </c>
      <c r="D12" s="1769"/>
      <c r="E12" s="1769"/>
      <c r="F12" s="1770"/>
      <c r="G12" s="1769"/>
      <c r="H12" s="1773"/>
      <c r="I12" s="1771"/>
      <c r="J12" s="1802" t="str">
        <f t="shared" si="0"/>
        <v/>
      </c>
      <c r="K12" s="1773"/>
      <c r="L12" s="1802" t="str">
        <f t="shared" si="1"/>
        <v/>
      </c>
      <c r="M12" s="1772"/>
      <c r="N12" s="1797"/>
      <c r="O12" s="1772"/>
      <c r="P12" s="1772"/>
      <c r="Q12" s="1772"/>
      <c r="R12" s="1803" t="str">
        <f t="shared" si="2"/>
        <v/>
      </c>
      <c r="S12" s="1803" t="str">
        <f t="shared" si="3"/>
        <v/>
      </c>
      <c r="T12" s="1798"/>
      <c r="V12" s="1793"/>
    </row>
    <row r="13" spans="2:22" ht="15" customHeight="1" x14ac:dyDescent="0.25">
      <c r="B13" s="1795"/>
      <c r="C13" s="1796">
        <v>7</v>
      </c>
      <c r="D13" s="1769"/>
      <c r="E13" s="1769"/>
      <c r="F13" s="1770"/>
      <c r="G13" s="1769"/>
      <c r="H13" s="1773"/>
      <c r="I13" s="1771"/>
      <c r="J13" s="1802" t="str">
        <f t="shared" si="0"/>
        <v/>
      </c>
      <c r="K13" s="1773"/>
      <c r="L13" s="1802" t="str">
        <f t="shared" si="1"/>
        <v/>
      </c>
      <c r="M13" s="1772"/>
      <c r="N13" s="1797"/>
      <c r="O13" s="1772"/>
      <c r="P13" s="1772"/>
      <c r="Q13" s="1772"/>
      <c r="R13" s="1803" t="str">
        <f t="shared" si="2"/>
        <v/>
      </c>
      <c r="S13" s="1803" t="str">
        <f t="shared" si="3"/>
        <v/>
      </c>
      <c r="T13" s="1798"/>
      <c r="V13" s="1793"/>
    </row>
    <row r="14" spans="2:22" ht="15" customHeight="1" x14ac:dyDescent="0.25">
      <c r="B14" s="1795"/>
      <c r="C14" s="1796">
        <v>8</v>
      </c>
      <c r="D14" s="1769"/>
      <c r="E14" s="1769"/>
      <c r="F14" s="1770"/>
      <c r="G14" s="1769"/>
      <c r="H14" s="1773"/>
      <c r="I14" s="1771"/>
      <c r="J14" s="1802" t="str">
        <f t="shared" si="0"/>
        <v/>
      </c>
      <c r="K14" s="1773"/>
      <c r="L14" s="1802" t="str">
        <f t="shared" si="1"/>
        <v/>
      </c>
      <c r="M14" s="1772"/>
      <c r="N14" s="1797"/>
      <c r="O14" s="1772"/>
      <c r="P14" s="1772"/>
      <c r="Q14" s="1772"/>
      <c r="R14" s="1803" t="str">
        <f t="shared" si="2"/>
        <v/>
      </c>
      <c r="S14" s="1803" t="str">
        <f t="shared" si="3"/>
        <v/>
      </c>
      <c r="T14" s="1798"/>
      <c r="V14" s="1793"/>
    </row>
    <row r="15" spans="2:22" ht="15" customHeight="1" x14ac:dyDescent="0.25">
      <c r="B15" s="1795"/>
      <c r="C15" s="1796">
        <v>9</v>
      </c>
      <c r="D15" s="1769"/>
      <c r="E15" s="1769"/>
      <c r="F15" s="1770"/>
      <c r="G15" s="1769"/>
      <c r="H15" s="1773"/>
      <c r="I15" s="1771"/>
      <c r="J15" s="1802" t="str">
        <f t="shared" si="0"/>
        <v/>
      </c>
      <c r="K15" s="1773"/>
      <c r="L15" s="1802" t="str">
        <f t="shared" si="1"/>
        <v/>
      </c>
      <c r="M15" s="1772"/>
      <c r="N15" s="1797"/>
      <c r="O15" s="1772"/>
      <c r="P15" s="1772"/>
      <c r="Q15" s="1772"/>
      <c r="R15" s="1803" t="str">
        <f t="shared" si="2"/>
        <v/>
      </c>
      <c r="S15" s="1803" t="str">
        <f t="shared" si="3"/>
        <v/>
      </c>
      <c r="T15" s="1798"/>
      <c r="V15" s="1793"/>
    </row>
    <row r="16" spans="2:22" ht="15" customHeight="1" x14ac:dyDescent="0.25">
      <c r="B16" s="1795"/>
      <c r="C16" s="1796">
        <v>10</v>
      </c>
      <c r="D16" s="1769"/>
      <c r="E16" s="1769"/>
      <c r="F16" s="1770"/>
      <c r="G16" s="1769"/>
      <c r="H16" s="1773"/>
      <c r="I16" s="1771"/>
      <c r="J16" s="1802" t="str">
        <f t="shared" si="0"/>
        <v/>
      </c>
      <c r="K16" s="1773"/>
      <c r="L16" s="1802" t="str">
        <f t="shared" si="1"/>
        <v/>
      </c>
      <c r="M16" s="1772"/>
      <c r="N16" s="1797"/>
      <c r="O16" s="1772"/>
      <c r="P16" s="1772"/>
      <c r="Q16" s="1772"/>
      <c r="R16" s="1803" t="str">
        <f t="shared" si="2"/>
        <v/>
      </c>
      <c r="S16" s="1803" t="str">
        <f t="shared" si="3"/>
        <v/>
      </c>
      <c r="T16" s="1798"/>
      <c r="V16" s="1793"/>
    </row>
    <row r="17" spans="2:22" ht="15" customHeight="1" x14ac:dyDescent="0.25">
      <c r="B17" s="1795"/>
      <c r="C17" s="1796">
        <v>11</v>
      </c>
      <c r="D17" s="1769"/>
      <c r="E17" s="1769"/>
      <c r="F17" s="1770"/>
      <c r="G17" s="1769"/>
      <c r="H17" s="1773"/>
      <c r="I17" s="1771"/>
      <c r="J17" s="1802" t="str">
        <f t="shared" si="0"/>
        <v/>
      </c>
      <c r="K17" s="1773"/>
      <c r="L17" s="1802" t="str">
        <f t="shared" si="1"/>
        <v/>
      </c>
      <c r="M17" s="1772"/>
      <c r="N17" s="1797"/>
      <c r="O17" s="1772"/>
      <c r="P17" s="1772"/>
      <c r="Q17" s="1772"/>
      <c r="R17" s="1803" t="str">
        <f t="shared" si="2"/>
        <v/>
      </c>
      <c r="S17" s="1803" t="str">
        <f t="shared" si="3"/>
        <v/>
      </c>
      <c r="T17" s="1798"/>
      <c r="V17" s="1793" t="s">
        <v>104</v>
      </c>
    </row>
    <row r="18" spans="2:22" ht="15" customHeight="1" x14ac:dyDescent="0.25">
      <c r="B18" s="1795"/>
      <c r="C18" s="1796">
        <v>12</v>
      </c>
      <c r="D18" s="1769"/>
      <c r="E18" s="1769"/>
      <c r="F18" s="1770"/>
      <c r="G18" s="1769"/>
      <c r="H18" s="1773"/>
      <c r="I18" s="1771"/>
      <c r="J18" s="1802" t="str">
        <f t="shared" si="0"/>
        <v/>
      </c>
      <c r="K18" s="1773"/>
      <c r="L18" s="1802" t="str">
        <f t="shared" si="1"/>
        <v/>
      </c>
      <c r="M18" s="1772"/>
      <c r="N18" s="1797"/>
      <c r="O18" s="1772"/>
      <c r="P18" s="1772"/>
      <c r="Q18" s="1772"/>
      <c r="R18" s="1803" t="str">
        <f t="shared" si="2"/>
        <v/>
      </c>
      <c r="S18" s="1803" t="str">
        <f t="shared" si="3"/>
        <v/>
      </c>
      <c r="T18" s="1798"/>
      <c r="V18" s="1793"/>
    </row>
    <row r="19" spans="2:22" ht="15" customHeight="1" x14ac:dyDescent="0.25">
      <c r="B19" s="1795"/>
      <c r="C19" s="1796">
        <v>13</v>
      </c>
      <c r="D19" s="1769"/>
      <c r="E19" s="1769"/>
      <c r="F19" s="1770"/>
      <c r="G19" s="1769"/>
      <c r="H19" s="1773"/>
      <c r="I19" s="1771"/>
      <c r="J19" s="1802" t="str">
        <f t="shared" si="0"/>
        <v/>
      </c>
      <c r="K19" s="1773"/>
      <c r="L19" s="1802" t="str">
        <f t="shared" si="1"/>
        <v/>
      </c>
      <c r="M19" s="1772"/>
      <c r="N19" s="1797"/>
      <c r="O19" s="1772"/>
      <c r="P19" s="1772"/>
      <c r="Q19" s="1772"/>
      <c r="R19" s="1803" t="str">
        <f t="shared" si="2"/>
        <v/>
      </c>
      <c r="S19" s="1803" t="str">
        <f t="shared" si="3"/>
        <v/>
      </c>
      <c r="T19" s="1798"/>
      <c r="V19" s="1793"/>
    </row>
    <row r="20" spans="2:22" ht="15" customHeight="1" x14ac:dyDescent="0.25">
      <c r="B20" s="1795"/>
      <c r="C20" s="1796">
        <v>14</v>
      </c>
      <c r="D20" s="1769"/>
      <c r="E20" s="1769"/>
      <c r="F20" s="1770"/>
      <c r="G20" s="1769"/>
      <c r="H20" s="1773"/>
      <c r="I20" s="1771"/>
      <c r="J20" s="1802" t="str">
        <f t="shared" si="0"/>
        <v/>
      </c>
      <c r="K20" s="1773"/>
      <c r="L20" s="1802" t="str">
        <f t="shared" si="1"/>
        <v/>
      </c>
      <c r="M20" s="1772"/>
      <c r="N20" s="1797"/>
      <c r="O20" s="1772"/>
      <c r="P20" s="1772"/>
      <c r="Q20" s="1772"/>
      <c r="R20" s="1803" t="str">
        <f t="shared" si="2"/>
        <v/>
      </c>
      <c r="S20" s="1803" t="str">
        <f t="shared" si="3"/>
        <v/>
      </c>
      <c r="T20" s="1798"/>
      <c r="V20" s="1793"/>
    </row>
    <row r="21" spans="2:22" ht="15" customHeight="1" x14ac:dyDescent="0.25">
      <c r="B21" s="1795"/>
      <c r="C21" s="1796">
        <v>15</v>
      </c>
      <c r="D21" s="1769"/>
      <c r="E21" s="1769"/>
      <c r="F21" s="1770"/>
      <c r="G21" s="1769"/>
      <c r="H21" s="1773"/>
      <c r="I21" s="1771"/>
      <c r="J21" s="1802" t="str">
        <f t="shared" si="0"/>
        <v/>
      </c>
      <c r="K21" s="1773"/>
      <c r="L21" s="1802" t="str">
        <f t="shared" si="1"/>
        <v/>
      </c>
      <c r="M21" s="1772"/>
      <c r="N21" s="1797"/>
      <c r="O21" s="1772"/>
      <c r="P21" s="1772"/>
      <c r="Q21" s="1772"/>
      <c r="R21" s="1803" t="str">
        <f t="shared" si="2"/>
        <v/>
      </c>
      <c r="S21" s="1803" t="str">
        <f t="shared" si="3"/>
        <v/>
      </c>
      <c r="T21" s="1798"/>
      <c r="V21" s="1793"/>
    </row>
    <row r="22" spans="2:22" ht="15" customHeight="1" x14ac:dyDescent="0.25">
      <c r="B22" s="1795"/>
      <c r="C22" s="1796">
        <v>16</v>
      </c>
      <c r="D22" s="1769"/>
      <c r="E22" s="1769"/>
      <c r="F22" s="1770"/>
      <c r="G22" s="1769"/>
      <c r="H22" s="1773"/>
      <c r="I22" s="1771"/>
      <c r="J22" s="1802" t="str">
        <f t="shared" si="0"/>
        <v/>
      </c>
      <c r="K22" s="1773"/>
      <c r="L22" s="1802" t="str">
        <f t="shared" si="1"/>
        <v/>
      </c>
      <c r="M22" s="1772"/>
      <c r="N22" s="1797"/>
      <c r="O22" s="1772"/>
      <c r="P22" s="1772"/>
      <c r="Q22" s="1772"/>
      <c r="R22" s="1803" t="str">
        <f t="shared" si="2"/>
        <v/>
      </c>
      <c r="S22" s="1803" t="str">
        <f t="shared" si="3"/>
        <v/>
      </c>
      <c r="T22" s="1798"/>
      <c r="V22" s="1793"/>
    </row>
    <row r="23" spans="2:22" ht="15" customHeight="1" x14ac:dyDescent="0.25">
      <c r="B23" s="1795"/>
      <c r="C23" s="1796">
        <v>17</v>
      </c>
      <c r="D23" s="1769"/>
      <c r="E23" s="1769"/>
      <c r="F23" s="1770"/>
      <c r="G23" s="1769"/>
      <c r="H23" s="1773"/>
      <c r="I23" s="1771"/>
      <c r="J23" s="1802" t="str">
        <f t="shared" si="0"/>
        <v/>
      </c>
      <c r="K23" s="1773"/>
      <c r="L23" s="1802" t="str">
        <f t="shared" si="1"/>
        <v/>
      </c>
      <c r="M23" s="1772"/>
      <c r="N23" s="1797"/>
      <c r="O23" s="1772"/>
      <c r="P23" s="1772"/>
      <c r="Q23" s="1772"/>
      <c r="R23" s="1803" t="str">
        <f t="shared" si="2"/>
        <v/>
      </c>
      <c r="S23" s="1803" t="str">
        <f t="shared" si="3"/>
        <v/>
      </c>
      <c r="T23" s="1798"/>
      <c r="V23" s="1793"/>
    </row>
    <row r="24" spans="2:22" ht="15" customHeight="1" x14ac:dyDescent="0.25">
      <c r="B24" s="1795"/>
      <c r="C24" s="1796">
        <v>18</v>
      </c>
      <c r="D24" s="1769"/>
      <c r="E24" s="1769"/>
      <c r="F24" s="1770"/>
      <c r="G24" s="1769"/>
      <c r="H24" s="1773"/>
      <c r="I24" s="1771"/>
      <c r="J24" s="1802" t="str">
        <f t="shared" si="0"/>
        <v/>
      </c>
      <c r="K24" s="1773"/>
      <c r="L24" s="1802" t="str">
        <f t="shared" si="1"/>
        <v/>
      </c>
      <c r="M24" s="1772"/>
      <c r="N24" s="1797"/>
      <c r="O24" s="1772"/>
      <c r="P24" s="1772"/>
      <c r="Q24" s="1772"/>
      <c r="R24" s="1803" t="str">
        <f t="shared" si="2"/>
        <v/>
      </c>
      <c r="S24" s="1803" t="str">
        <f t="shared" si="3"/>
        <v/>
      </c>
      <c r="T24" s="1798"/>
      <c r="V24" s="1793"/>
    </row>
    <row r="25" spans="2:22" ht="15" customHeight="1" x14ac:dyDescent="0.25">
      <c r="B25" s="1795"/>
      <c r="C25" s="1796">
        <v>19</v>
      </c>
      <c r="D25" s="1769"/>
      <c r="E25" s="1769"/>
      <c r="F25" s="1770"/>
      <c r="G25" s="1769"/>
      <c r="H25" s="1773"/>
      <c r="I25" s="1771"/>
      <c r="J25" s="1802" t="str">
        <f t="shared" si="0"/>
        <v/>
      </c>
      <c r="K25" s="1773"/>
      <c r="L25" s="1802" t="str">
        <f t="shared" si="1"/>
        <v/>
      </c>
      <c r="M25" s="1772"/>
      <c r="N25" s="1797"/>
      <c r="O25" s="1772"/>
      <c r="P25" s="1772"/>
      <c r="Q25" s="1772"/>
      <c r="R25" s="1803" t="str">
        <f t="shared" si="2"/>
        <v/>
      </c>
      <c r="S25" s="1803" t="str">
        <f t="shared" si="3"/>
        <v/>
      </c>
      <c r="T25" s="1798"/>
      <c r="V25" s="1793"/>
    </row>
    <row r="26" spans="2:22" ht="15" customHeight="1" x14ac:dyDescent="0.25">
      <c r="B26" s="1795"/>
      <c r="C26" s="1796">
        <v>20</v>
      </c>
      <c r="D26" s="1769"/>
      <c r="E26" s="1769"/>
      <c r="F26" s="1770"/>
      <c r="G26" s="1769"/>
      <c r="H26" s="1773"/>
      <c r="I26" s="1771"/>
      <c r="J26" s="1802" t="str">
        <f t="shared" si="0"/>
        <v/>
      </c>
      <c r="K26" s="1773"/>
      <c r="L26" s="1802" t="str">
        <f t="shared" si="1"/>
        <v/>
      </c>
      <c r="M26" s="1772"/>
      <c r="N26" s="1797"/>
      <c r="O26" s="1772"/>
      <c r="P26" s="1772"/>
      <c r="Q26" s="1772"/>
      <c r="R26" s="1803" t="str">
        <f t="shared" si="2"/>
        <v/>
      </c>
      <c r="S26" s="1803" t="str">
        <f t="shared" si="3"/>
        <v/>
      </c>
      <c r="T26" s="1798"/>
      <c r="V26" s="1793"/>
    </row>
    <row r="27" spans="2:22" ht="15" customHeight="1" x14ac:dyDescent="0.25">
      <c r="B27" s="1795"/>
      <c r="C27" s="1796">
        <v>21</v>
      </c>
      <c r="D27" s="1769"/>
      <c r="E27" s="1769"/>
      <c r="F27" s="1770"/>
      <c r="G27" s="1769"/>
      <c r="H27" s="1773"/>
      <c r="I27" s="1771"/>
      <c r="J27" s="1802" t="str">
        <f t="shared" si="0"/>
        <v/>
      </c>
      <c r="K27" s="1773"/>
      <c r="L27" s="1802" t="str">
        <f t="shared" si="1"/>
        <v/>
      </c>
      <c r="M27" s="1772"/>
      <c r="N27" s="1797"/>
      <c r="O27" s="1772"/>
      <c r="P27" s="1772"/>
      <c r="Q27" s="1772"/>
      <c r="R27" s="1803" t="str">
        <f t="shared" si="2"/>
        <v/>
      </c>
      <c r="S27" s="1803" t="str">
        <f t="shared" si="3"/>
        <v/>
      </c>
      <c r="T27" s="1798"/>
      <c r="V27" s="1793"/>
    </row>
    <row r="28" spans="2:22" ht="15" customHeight="1" x14ac:dyDescent="0.25">
      <c r="B28" s="1795"/>
      <c r="C28" s="1796">
        <v>22</v>
      </c>
      <c r="D28" s="1769"/>
      <c r="E28" s="1769"/>
      <c r="F28" s="1770"/>
      <c r="G28" s="1769"/>
      <c r="H28" s="1773"/>
      <c r="I28" s="1771"/>
      <c r="J28" s="1802" t="str">
        <f t="shared" si="0"/>
        <v/>
      </c>
      <c r="K28" s="1773"/>
      <c r="L28" s="1802" t="str">
        <f t="shared" si="1"/>
        <v/>
      </c>
      <c r="M28" s="1772"/>
      <c r="N28" s="1797"/>
      <c r="O28" s="1772"/>
      <c r="P28" s="1772"/>
      <c r="Q28" s="1772"/>
      <c r="R28" s="1803" t="str">
        <f t="shared" si="2"/>
        <v/>
      </c>
      <c r="S28" s="1803" t="str">
        <f t="shared" si="3"/>
        <v/>
      </c>
      <c r="T28" s="1798"/>
      <c r="V28" s="1793"/>
    </row>
    <row r="29" spans="2:22" ht="15" customHeight="1" x14ac:dyDescent="0.25">
      <c r="B29" s="1795"/>
      <c r="C29" s="1796">
        <v>23</v>
      </c>
      <c r="D29" s="1769"/>
      <c r="E29" s="1769"/>
      <c r="F29" s="1770"/>
      <c r="G29" s="1769"/>
      <c r="H29" s="1773"/>
      <c r="I29" s="1771"/>
      <c r="J29" s="1802" t="str">
        <f t="shared" si="0"/>
        <v/>
      </c>
      <c r="K29" s="1773"/>
      <c r="L29" s="1802" t="str">
        <f t="shared" si="1"/>
        <v/>
      </c>
      <c r="M29" s="1772"/>
      <c r="N29" s="1797"/>
      <c r="O29" s="1772"/>
      <c r="P29" s="1772"/>
      <c r="Q29" s="1772"/>
      <c r="R29" s="1803" t="str">
        <f t="shared" si="2"/>
        <v/>
      </c>
      <c r="S29" s="1803" t="str">
        <f t="shared" si="3"/>
        <v/>
      </c>
      <c r="T29" s="1798"/>
      <c r="V29" s="1793"/>
    </row>
    <row r="30" spans="2:22" ht="15" customHeight="1" x14ac:dyDescent="0.25">
      <c r="B30" s="1795"/>
      <c r="C30" s="1796">
        <v>24</v>
      </c>
      <c r="D30" s="1769"/>
      <c r="E30" s="1769"/>
      <c r="F30" s="1770"/>
      <c r="G30" s="1769"/>
      <c r="H30" s="1773"/>
      <c r="I30" s="1771"/>
      <c r="J30" s="1802" t="str">
        <f t="shared" si="0"/>
        <v/>
      </c>
      <c r="K30" s="1773"/>
      <c r="L30" s="1802" t="str">
        <f t="shared" si="1"/>
        <v/>
      </c>
      <c r="M30" s="1772"/>
      <c r="N30" s="1797"/>
      <c r="O30" s="1772"/>
      <c r="P30" s="1772"/>
      <c r="Q30" s="1772"/>
      <c r="R30" s="1803" t="str">
        <f t="shared" si="2"/>
        <v/>
      </c>
      <c r="S30" s="1803" t="str">
        <f t="shared" si="3"/>
        <v/>
      </c>
      <c r="T30" s="1798"/>
      <c r="V30" s="1793"/>
    </row>
    <row r="31" spans="2:22" ht="15" customHeight="1" x14ac:dyDescent="0.25">
      <c r="B31" s="1795"/>
      <c r="C31" s="1796">
        <v>25</v>
      </c>
      <c r="D31" s="1769"/>
      <c r="E31" s="1769"/>
      <c r="F31" s="1770"/>
      <c r="G31" s="1769"/>
      <c r="H31" s="1773"/>
      <c r="I31" s="1771"/>
      <c r="J31" s="1802" t="str">
        <f t="shared" si="0"/>
        <v/>
      </c>
      <c r="K31" s="1773"/>
      <c r="L31" s="1802" t="str">
        <f t="shared" si="1"/>
        <v/>
      </c>
      <c r="M31" s="1772"/>
      <c r="N31" s="1797"/>
      <c r="O31" s="1772"/>
      <c r="P31" s="1772"/>
      <c r="Q31" s="1772"/>
      <c r="R31" s="1803" t="str">
        <f t="shared" si="2"/>
        <v/>
      </c>
      <c r="S31" s="1803" t="str">
        <f t="shared" si="3"/>
        <v/>
      </c>
      <c r="T31" s="1798"/>
      <c r="V31" s="1793"/>
    </row>
    <row r="32" spans="2:22" s="1799" customFormat="1" ht="18" customHeight="1" x14ac:dyDescent="0.25">
      <c r="B32" s="1804"/>
      <c r="C32" s="1805"/>
      <c r="D32" s="1806" t="s">
        <v>105</v>
      </c>
      <c r="E32" s="1807"/>
      <c r="F32" s="1806"/>
      <c r="G32" s="1807"/>
      <c r="H32" s="1809"/>
      <c r="I32" s="1809"/>
      <c r="J32" s="1810" t="e">
        <f>AVERAGE(J7:J31)</f>
        <v>#DIV/0!</v>
      </c>
      <c r="K32" s="1809"/>
      <c r="L32" s="1810" t="e">
        <f>AVERAGE(L7:L31)</f>
        <v>#DIV/0!</v>
      </c>
      <c r="M32" s="1811">
        <f>SUM(M7:M31)</f>
        <v>0</v>
      </c>
      <c r="N32" s="1808" t="e">
        <f>AVERAGE(N7:N31)</f>
        <v>#DIV/0!</v>
      </c>
      <c r="O32" s="1811">
        <f>SUM(O7:O31)</f>
        <v>0</v>
      </c>
      <c r="P32" s="1811">
        <f>SUM(P7:P31)</f>
        <v>0</v>
      </c>
      <c r="Q32" s="1811">
        <f>SUM(Q7:Q31)</f>
        <v>0</v>
      </c>
      <c r="R32" s="1812" t="e">
        <f>M32/O32</f>
        <v>#DIV/0!</v>
      </c>
      <c r="S32" s="1812" t="e">
        <f>M32/Q32</f>
        <v>#DIV/0!</v>
      </c>
      <c r="T32" s="1813"/>
      <c r="V32" s="1800"/>
    </row>
    <row r="52" spans="4:4" x14ac:dyDescent="0.25">
      <c r="D52" s="1801" t="s">
        <v>106</v>
      </c>
    </row>
    <row r="53" spans="4:4" x14ac:dyDescent="0.25">
      <c r="D53" s="1431" t="s">
        <v>107</v>
      </c>
    </row>
    <row r="54" spans="4:4" x14ac:dyDescent="0.25">
      <c r="D54" s="1431" t="s">
        <v>108</v>
      </c>
    </row>
    <row r="55" spans="4:4" x14ac:dyDescent="0.25">
      <c r="D55" s="1431" t="s">
        <v>109</v>
      </c>
    </row>
    <row r="56" spans="4:4" x14ac:dyDescent="0.25">
      <c r="D56" s="1431" t="s">
        <v>110</v>
      </c>
    </row>
    <row r="57" spans="4:4" x14ac:dyDescent="0.25">
      <c r="D57" s="1431" t="s">
        <v>111</v>
      </c>
    </row>
  </sheetData>
  <sheetProtection formatCells="0" formatColumns="0" formatRows="0" insertColumns="0" insertRows="0" insertHyperlinks="0" deleteColumns="0" deleteRows="0" selectLockedCells="1" sort="0" autoFilter="0" pivotTables="0"/>
  <phoneticPr fontId="112" type="noConversion"/>
  <dataValidations count="1">
    <dataValidation type="list" allowBlank="1" showInputMessage="1" showErrorMessage="1" sqref="D7:D31" xr:uid="{4DED55CE-1B3D-4D05-B7FD-994C491B6D4C}">
      <formula1>$D$53:$D$57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252D-53DF-4FB0-9597-6BB3C842F7F4}">
  <sheetPr>
    <pageSetUpPr fitToPage="1"/>
  </sheetPr>
  <dimension ref="B1:X48"/>
  <sheetViews>
    <sheetView showGridLines="0" zoomScaleNormal="100" workbookViewId="0"/>
  </sheetViews>
  <sheetFormatPr defaultColWidth="9.140625" defaultRowHeight="15" x14ac:dyDescent="0.25"/>
  <cols>
    <col min="1" max="1" width="1.7109375" style="1189" customWidth="1"/>
    <col min="2" max="2" width="25.5703125" style="1189" bestFit="1" customWidth="1"/>
    <col min="3" max="3" width="5.7109375" style="1217" customWidth="1"/>
    <col min="4" max="4" width="6.7109375" style="1217" customWidth="1"/>
    <col min="5" max="5" width="14.28515625" style="1217" customWidth="1"/>
    <col min="6" max="6" width="6.7109375" style="1217" customWidth="1"/>
    <col min="7" max="7" width="14.28515625" style="1217" customWidth="1"/>
    <col min="8" max="8" width="6.7109375" style="1217" customWidth="1"/>
    <col min="9" max="9" width="14.28515625" style="1189" customWidth="1"/>
    <col min="10" max="10" width="6.7109375" style="1217" customWidth="1"/>
    <col min="11" max="11" width="14.28515625" style="1217" customWidth="1"/>
    <col min="12" max="12" width="6.7109375" style="1217" customWidth="1"/>
    <col min="13" max="13" width="1.5703125" style="1318" customWidth="1"/>
    <col min="14" max="14" width="12" style="1318" bestFit="1" customWidth="1"/>
    <col min="15" max="15" width="8.140625" style="1189" bestFit="1" customWidth="1"/>
    <col min="16" max="16" width="6.5703125" style="1189" bestFit="1" customWidth="1"/>
    <col min="17" max="17" width="8.140625" style="1189" bestFit="1" customWidth="1"/>
    <col min="18" max="16384" width="9.140625" style="1189"/>
  </cols>
  <sheetData>
    <row r="1" spans="2:15" ht="9.9499999999999993" customHeight="1" x14ac:dyDescent="0.25">
      <c r="M1" s="1189"/>
      <c r="N1" s="1189"/>
    </row>
    <row r="2" spans="2:15" s="150" customFormat="1" ht="12" x14ac:dyDescent="0.25">
      <c r="B2" s="1428" t="s">
        <v>112</v>
      </c>
      <c r="C2" s="1967" t="s">
        <v>113</v>
      </c>
      <c r="D2" s="1967"/>
      <c r="E2" s="1967" t="s">
        <v>114</v>
      </c>
      <c r="F2" s="1967"/>
      <c r="G2" s="1967" t="s">
        <v>115</v>
      </c>
      <c r="H2" s="1967"/>
      <c r="I2" s="1234" t="s">
        <v>116</v>
      </c>
      <c r="J2" s="1234" t="s">
        <v>102</v>
      </c>
      <c r="K2" s="1235" t="s">
        <v>117</v>
      </c>
      <c r="L2" s="1236" t="s">
        <v>103</v>
      </c>
      <c r="N2" s="1237" t="s">
        <v>118</v>
      </c>
      <c r="O2" s="1238" t="s">
        <v>119</v>
      </c>
    </row>
    <row r="3" spans="2:15" ht="12" x14ac:dyDescent="0.25">
      <c r="B3" s="1239" t="s">
        <v>120</v>
      </c>
      <c r="C3" s="1217">
        <v>0</v>
      </c>
      <c r="D3" s="1240">
        <f>IF(C3=0,0%,(C3/$C11))</f>
        <v>0</v>
      </c>
      <c r="E3" s="1241">
        <v>0</v>
      </c>
      <c r="F3" s="1240">
        <f>IF(E3=0,0%,(E3/$E11))</f>
        <v>0</v>
      </c>
      <c r="G3" s="1241">
        <v>0</v>
      </c>
      <c r="H3" s="1240">
        <f>IF(G3=0,0%,(G3/$G11))</f>
        <v>0</v>
      </c>
      <c r="I3" s="1241">
        <v>0</v>
      </c>
      <c r="J3" s="1240" t="str">
        <f t="shared" ref="J3:J9" si="0">IF(I3&gt;0,G3/I3,"N/A")</f>
        <v>N/A</v>
      </c>
      <c r="K3" s="1241">
        <v>0</v>
      </c>
      <c r="L3" s="1427" t="str">
        <f t="shared" ref="L3:L10" si="1">IF(K3&gt;0,G3/K3,"N/A")</f>
        <v>N/A</v>
      </c>
      <c r="M3" s="1189"/>
      <c r="N3" s="1242" t="e">
        <f>E3/$E$11</f>
        <v>#DIV/0!</v>
      </c>
      <c r="O3" s="1242" t="e">
        <f>G3/$G$11</f>
        <v>#DIV/0!</v>
      </c>
    </row>
    <row r="4" spans="2:15" ht="12" x14ac:dyDescent="0.25">
      <c r="B4" s="1239" t="s">
        <v>121</v>
      </c>
      <c r="C4" s="1217">
        <v>0</v>
      </c>
      <c r="D4" s="1240">
        <f t="shared" ref="D4:D10" si="2">IF(C4=0,0%,(C4/$C$11))</f>
        <v>0</v>
      </c>
      <c r="E4" s="1241">
        <v>0</v>
      </c>
      <c r="F4" s="1240">
        <f t="shared" ref="F4:F10" si="3">IF(E4=0,0%,(E4/$E$11))</f>
        <v>0</v>
      </c>
      <c r="G4" s="1241">
        <v>0</v>
      </c>
      <c r="H4" s="1240">
        <f t="shared" ref="H4:H10" si="4">IF(G4=0,0%,(G4/$G$11))</f>
        <v>0</v>
      </c>
      <c r="I4" s="1241">
        <v>0</v>
      </c>
      <c r="J4" s="1240" t="str">
        <f t="shared" si="0"/>
        <v>N/A</v>
      </c>
      <c r="K4" s="1241">
        <v>0</v>
      </c>
      <c r="L4" s="1427" t="str">
        <f t="shared" si="1"/>
        <v>N/A</v>
      </c>
      <c r="M4" s="1189"/>
      <c r="N4" s="1242" t="e">
        <f t="shared" ref="N4:N5" si="5">E4/$E$11</f>
        <v>#DIV/0!</v>
      </c>
      <c r="O4" s="1242" t="e">
        <f t="shared" ref="O4:O5" si="6">G4/$G$11</f>
        <v>#DIV/0!</v>
      </c>
    </row>
    <row r="5" spans="2:15" ht="12" x14ac:dyDescent="0.25">
      <c r="B5" s="1239" t="s">
        <v>122</v>
      </c>
      <c r="C5" s="1217">
        <v>0</v>
      </c>
      <c r="D5" s="1240">
        <f t="shared" si="2"/>
        <v>0</v>
      </c>
      <c r="E5" s="1241">
        <v>0</v>
      </c>
      <c r="F5" s="1240">
        <f t="shared" si="3"/>
        <v>0</v>
      </c>
      <c r="G5" s="1241">
        <v>0</v>
      </c>
      <c r="H5" s="1240">
        <f t="shared" si="4"/>
        <v>0</v>
      </c>
      <c r="I5" s="1241">
        <v>0</v>
      </c>
      <c r="J5" s="1240" t="str">
        <f t="shared" si="0"/>
        <v>N/A</v>
      </c>
      <c r="K5" s="1241">
        <v>0</v>
      </c>
      <c r="L5" s="1427" t="str">
        <f t="shared" si="1"/>
        <v>N/A</v>
      </c>
      <c r="M5" s="1189"/>
      <c r="N5" s="1242" t="e">
        <f t="shared" si="5"/>
        <v>#DIV/0!</v>
      </c>
      <c r="O5" s="1242" t="e">
        <f t="shared" si="6"/>
        <v>#DIV/0!</v>
      </c>
    </row>
    <row r="6" spans="2:15" s="150" customFormat="1" ht="12" x14ac:dyDescent="0.25">
      <c r="B6" s="1243" t="s">
        <v>123</v>
      </c>
      <c r="C6" s="1244">
        <f>SUM(C3:C5)</f>
        <v>0</v>
      </c>
      <c r="D6" s="1245">
        <f t="shared" si="2"/>
        <v>0</v>
      </c>
      <c r="E6" s="1246">
        <f>SUM(E3:E5)</f>
        <v>0</v>
      </c>
      <c r="F6" s="1245">
        <f t="shared" si="3"/>
        <v>0</v>
      </c>
      <c r="G6" s="1246">
        <f>SUM(G3:G5)</f>
        <v>0</v>
      </c>
      <c r="H6" s="1245">
        <f t="shared" si="4"/>
        <v>0</v>
      </c>
      <c r="I6" s="1246">
        <f>SUM(I3:I5)</f>
        <v>0</v>
      </c>
      <c r="J6" s="1426" t="str">
        <f t="shared" si="0"/>
        <v>N/A</v>
      </c>
      <c r="K6" s="1246">
        <f>SUM(K3:K5)</f>
        <v>0</v>
      </c>
      <c r="L6" s="1426" t="str">
        <f t="shared" si="1"/>
        <v>N/A</v>
      </c>
      <c r="N6" s="1247" t="e">
        <f>SUM(N3:N5)</f>
        <v>#DIV/0!</v>
      </c>
      <c r="O6" s="1248" t="e">
        <f>SUM(O3:O5)</f>
        <v>#DIV/0!</v>
      </c>
    </row>
    <row r="7" spans="2:15" ht="12" x14ac:dyDescent="0.25">
      <c r="B7" s="1239" t="s">
        <v>124</v>
      </c>
      <c r="C7" s="1217">
        <v>0</v>
      </c>
      <c r="D7" s="1240">
        <f t="shared" si="2"/>
        <v>0</v>
      </c>
      <c r="E7" s="1241">
        <v>0</v>
      </c>
      <c r="F7" s="1240">
        <f t="shared" si="3"/>
        <v>0</v>
      </c>
      <c r="G7" s="1241">
        <v>0</v>
      </c>
      <c r="H7" s="1240">
        <f t="shared" si="4"/>
        <v>0</v>
      </c>
      <c r="I7" s="1241">
        <v>0</v>
      </c>
      <c r="J7" s="1240" t="str">
        <f t="shared" si="0"/>
        <v>N/A</v>
      </c>
      <c r="K7" s="1241">
        <v>0</v>
      </c>
      <c r="L7" s="1427" t="str">
        <f t="shared" si="1"/>
        <v>N/A</v>
      </c>
      <c r="M7" s="1189"/>
      <c r="N7" s="1242" t="e">
        <f>E7/$E$11</f>
        <v>#DIV/0!</v>
      </c>
      <c r="O7" s="1242" t="e">
        <f>G7/$G$11</f>
        <v>#DIV/0!</v>
      </c>
    </row>
    <row r="8" spans="2:15" ht="12" x14ac:dyDescent="0.25">
      <c r="B8" s="1239" t="s">
        <v>125</v>
      </c>
      <c r="C8" s="1217">
        <v>0</v>
      </c>
      <c r="D8" s="1240">
        <f t="shared" si="2"/>
        <v>0</v>
      </c>
      <c r="E8" s="1241">
        <v>0</v>
      </c>
      <c r="F8" s="1240">
        <f t="shared" si="3"/>
        <v>0</v>
      </c>
      <c r="G8" s="1241">
        <v>0</v>
      </c>
      <c r="H8" s="1240">
        <f t="shared" si="4"/>
        <v>0</v>
      </c>
      <c r="I8" s="1241">
        <v>0</v>
      </c>
      <c r="J8" s="1240" t="str">
        <f t="shared" si="0"/>
        <v>N/A</v>
      </c>
      <c r="K8" s="1241">
        <v>0</v>
      </c>
      <c r="L8" s="1427" t="str">
        <f t="shared" si="1"/>
        <v>N/A</v>
      </c>
      <c r="M8" s="1189"/>
      <c r="N8" s="1242" t="e">
        <f t="shared" ref="N8:N9" si="7">E8/$E$11</f>
        <v>#DIV/0!</v>
      </c>
      <c r="O8" s="1242" t="e">
        <f t="shared" ref="O8:O9" si="8">G8/$G$11</f>
        <v>#DIV/0!</v>
      </c>
    </row>
    <row r="9" spans="2:15" ht="12" x14ac:dyDescent="0.25">
      <c r="B9" s="1239" t="s">
        <v>126</v>
      </c>
      <c r="C9" s="1217">
        <v>0</v>
      </c>
      <c r="D9" s="1240">
        <f t="shared" si="2"/>
        <v>0</v>
      </c>
      <c r="E9" s="1241">
        <v>0</v>
      </c>
      <c r="F9" s="1240">
        <f t="shared" si="3"/>
        <v>0</v>
      </c>
      <c r="G9" s="1241">
        <v>0</v>
      </c>
      <c r="H9" s="1240">
        <f t="shared" si="4"/>
        <v>0</v>
      </c>
      <c r="I9" s="1241">
        <v>0</v>
      </c>
      <c r="J9" s="1240" t="str">
        <f t="shared" si="0"/>
        <v>N/A</v>
      </c>
      <c r="K9" s="1241">
        <v>0</v>
      </c>
      <c r="L9" s="1427" t="str">
        <f t="shared" si="1"/>
        <v>N/A</v>
      </c>
      <c r="M9" s="1189"/>
      <c r="N9" s="1242" t="e">
        <f t="shared" si="7"/>
        <v>#DIV/0!</v>
      </c>
      <c r="O9" s="1242" t="e">
        <f t="shared" si="8"/>
        <v>#DIV/0!</v>
      </c>
    </row>
    <row r="10" spans="2:15" s="150" customFormat="1" ht="12.75" thickBot="1" x14ac:dyDescent="0.3">
      <c r="B10" s="1243" t="s">
        <v>127</v>
      </c>
      <c r="C10" s="1249">
        <f>SUM(C7:C9)</f>
        <v>0</v>
      </c>
      <c r="D10" s="1245">
        <f t="shared" si="2"/>
        <v>0</v>
      </c>
      <c r="E10" s="1250">
        <f>SUM(E7:E9)</f>
        <v>0</v>
      </c>
      <c r="F10" s="1245">
        <f t="shared" si="3"/>
        <v>0</v>
      </c>
      <c r="G10" s="1250">
        <f>SUM(G7:G9)</f>
        <v>0</v>
      </c>
      <c r="H10" s="1245">
        <f t="shared" si="4"/>
        <v>0</v>
      </c>
      <c r="I10" s="1251">
        <f>SUM(I7:I9)</f>
        <v>0</v>
      </c>
      <c r="J10" s="1252" t="str">
        <f>IF(I10&gt;0, G10/I10, "N/A")</f>
        <v>N/A</v>
      </c>
      <c r="K10" s="1251">
        <f>SUM(K7:K9)</f>
        <v>0</v>
      </c>
      <c r="L10" s="1252" t="str">
        <f t="shared" si="1"/>
        <v>N/A</v>
      </c>
      <c r="N10" s="1247" t="e">
        <f>SUM(N7:N9)</f>
        <v>#DIV/0!</v>
      </c>
      <c r="O10" s="1248" t="e">
        <f>SUM(O7:O9)</f>
        <v>#DIV/0!</v>
      </c>
    </row>
    <row r="11" spans="2:15" s="150" customFormat="1" ht="12.75" thickTop="1" x14ac:dyDescent="0.25">
      <c r="B11" s="1253" t="s">
        <v>128</v>
      </c>
      <c r="C11" s="1254">
        <f t="shared" ref="C11:I11" si="9">C6+C10</f>
        <v>0</v>
      </c>
      <c r="D11" s="1255">
        <f t="shared" si="9"/>
        <v>0</v>
      </c>
      <c r="E11" s="1256">
        <f>E6+E10</f>
        <v>0</v>
      </c>
      <c r="F11" s="1255">
        <f t="shared" si="9"/>
        <v>0</v>
      </c>
      <c r="G11" s="1257">
        <f t="shared" si="9"/>
        <v>0</v>
      </c>
      <c r="H11" s="1255">
        <f t="shared" si="9"/>
        <v>0</v>
      </c>
      <c r="I11" s="1256">
        <f t="shared" si="9"/>
        <v>0</v>
      </c>
      <c r="J11" s="1258" t="str">
        <f>IF(I11&gt;0,G11/I11,"N/A")</f>
        <v>N/A</v>
      </c>
      <c r="K11" s="1256">
        <f>K6+K10</f>
        <v>0</v>
      </c>
      <c r="L11" s="1258" t="str">
        <f>IF(K11&gt;0,G11/K11,"N/A")</f>
        <v>N/A</v>
      </c>
      <c r="N11" s="1259"/>
      <c r="O11" s="1259"/>
    </row>
    <row r="12" spans="2:15" s="150" customFormat="1" ht="3" customHeight="1" x14ac:dyDescent="0.25">
      <c r="B12" s="1260"/>
      <c r="C12" s="1261"/>
      <c r="D12" s="1262"/>
      <c r="E12" s="1263"/>
      <c r="F12" s="1264"/>
      <c r="G12" s="1265"/>
      <c r="H12" s="1266"/>
      <c r="I12" s="1263"/>
      <c r="J12" s="1731"/>
      <c r="K12" s="1263"/>
      <c r="L12" s="1735"/>
      <c r="N12" s="1259"/>
      <c r="O12" s="1259"/>
    </row>
    <row r="13" spans="2:15" s="150" customFormat="1" ht="12" customHeight="1" x14ac:dyDescent="0.25">
      <c r="B13" s="1267" t="s">
        <v>129</v>
      </c>
      <c r="C13" s="1268"/>
      <c r="D13" s="1269"/>
      <c r="E13" s="1270">
        <f>E11</f>
        <v>0</v>
      </c>
      <c r="F13" s="1271">
        <f>IF(E13=0,0%,(+E13/(E10+E6)))</f>
        <v>0</v>
      </c>
      <c r="G13" s="1965"/>
      <c r="H13" s="1965"/>
      <c r="I13" s="1965"/>
      <c r="J13" s="1965"/>
      <c r="K13" s="1965"/>
      <c r="L13" s="1966"/>
      <c r="N13" s="1728" t="e">
        <f>+E13/E15</f>
        <v>#DIV/0!</v>
      </c>
      <c r="O13" s="1259"/>
    </row>
    <row r="14" spans="2:15" ht="12" x14ac:dyDescent="0.25">
      <c r="B14" s="1274" t="s">
        <v>130</v>
      </c>
      <c r="C14" s="1275"/>
      <c r="D14" s="1276"/>
      <c r="E14" s="1277">
        <f>G11-E13</f>
        <v>0</v>
      </c>
      <c r="F14" s="1278">
        <f>IF(E14=0,0%,(+E14/(E10+E6)))</f>
        <v>0</v>
      </c>
      <c r="G14" s="1965"/>
      <c r="H14" s="1965"/>
      <c r="I14" s="1279" t="s">
        <v>131</v>
      </c>
      <c r="J14" s="1732" t="str">
        <f>IF(I11&gt;0,((G6+G10)/(I6+I10)),"N/A")</f>
        <v>N/A</v>
      </c>
      <c r="K14" s="1279" t="s">
        <v>132</v>
      </c>
      <c r="L14" s="1736" t="str">
        <f>IF(K11&gt;0,((G6+G10)/(K6+K10)),"N/A")</f>
        <v>N/A</v>
      </c>
      <c r="M14" s="1189"/>
      <c r="N14" s="1273" t="e">
        <f>+E14/E15</f>
        <v>#DIV/0!</v>
      </c>
      <c r="O14" s="1194"/>
    </row>
    <row r="15" spans="2:15" s="150" customFormat="1" ht="12" x14ac:dyDescent="0.25">
      <c r="B15" s="1267" t="s">
        <v>57</v>
      </c>
      <c r="C15" s="1268"/>
      <c r="D15" s="1269"/>
      <c r="E15" s="1251">
        <f>SUM(E13:E14)</f>
        <v>0</v>
      </c>
      <c r="F15" s="1280">
        <f>SUM(F13:F14)</f>
        <v>0</v>
      </c>
      <c r="G15" s="1272"/>
      <c r="H15" s="1281"/>
      <c r="I15" s="1965"/>
      <c r="J15" s="1965"/>
      <c r="K15" s="1965"/>
      <c r="L15" s="1966"/>
      <c r="N15" s="1259"/>
      <c r="O15" s="1259"/>
    </row>
    <row r="16" spans="2:15" ht="3" customHeight="1" x14ac:dyDescent="0.25">
      <c r="B16" s="1282"/>
      <c r="D16" s="1283"/>
      <c r="E16" s="226"/>
      <c r="F16" s="1284"/>
      <c r="G16" s="1285"/>
      <c r="H16" s="1285"/>
      <c r="I16" s="1286"/>
      <c r="J16" s="1287"/>
      <c r="K16" s="1288"/>
      <c r="L16" s="1289"/>
      <c r="M16" s="1189"/>
      <c r="N16" s="1194"/>
      <c r="O16" s="1194"/>
    </row>
    <row r="17" spans="2:24" s="150" customFormat="1" ht="12" x14ac:dyDescent="0.25">
      <c r="B17" s="1290" t="s">
        <v>133</v>
      </c>
      <c r="C17" s="1291"/>
      <c r="D17" s="1292"/>
      <c r="E17" s="1293"/>
      <c r="F17" s="1291"/>
      <c r="G17" s="1294">
        <v>0</v>
      </c>
      <c r="H17" s="1968" t="str">
        <f>IF(G17&gt;0,(IF(G17&lt;=K4,"L/C Secured via A&amp;D Loan, Costs within A&amp;D Budget","Letter of Credit Cash Secured")),"")</f>
        <v/>
      </c>
      <c r="I17" s="1968"/>
      <c r="J17" s="1968"/>
      <c r="K17" s="1968"/>
      <c r="L17" s="1969"/>
      <c r="N17" s="1295">
        <f>+K4-G17</f>
        <v>0</v>
      </c>
      <c r="O17" s="1296" t="s">
        <v>134</v>
      </c>
      <c r="P17" s="1297"/>
      <c r="Q17" s="1297"/>
      <c r="R17" s="1297"/>
      <c r="S17" s="1297"/>
      <c r="T17" s="1297"/>
      <c r="U17" s="1297"/>
      <c r="V17" s="1297"/>
      <c r="W17" s="1297"/>
      <c r="X17" s="1297"/>
    </row>
    <row r="18" spans="2:24" s="150" customFormat="1" ht="3" customHeight="1" x14ac:dyDescent="0.25">
      <c r="B18" s="1298"/>
      <c r="C18" s="1261"/>
      <c r="D18" s="1261"/>
      <c r="E18" s="1263"/>
      <c r="F18" s="1266"/>
      <c r="G18" s="1265"/>
      <c r="H18" s="1266"/>
      <c r="I18" s="1299"/>
      <c r="J18" s="1733"/>
      <c r="K18" s="1299"/>
      <c r="L18" s="1737"/>
      <c r="N18" s="1259"/>
      <c r="O18" s="1259"/>
    </row>
    <row r="19" spans="2:24" s="150" customFormat="1" ht="12" x14ac:dyDescent="0.25">
      <c r="B19" s="1300" t="s">
        <v>135</v>
      </c>
      <c r="C19" s="1244"/>
      <c r="D19" s="1244" t="s">
        <v>136</v>
      </c>
      <c r="E19" s="1301">
        <v>0</v>
      </c>
      <c r="F19" s="1302" t="s">
        <v>137</v>
      </c>
      <c r="G19" s="1303">
        <v>0</v>
      </c>
      <c r="H19" s="1970"/>
      <c r="I19" s="1972" t="s">
        <v>138</v>
      </c>
      <c r="J19" s="1972"/>
      <c r="K19" s="1972"/>
      <c r="L19" s="1738"/>
      <c r="N19" s="1259"/>
      <c r="O19" s="1259"/>
    </row>
    <row r="20" spans="2:24" s="1259" customFormat="1" ht="12" x14ac:dyDescent="0.25">
      <c r="B20" s="1304" t="s">
        <v>139</v>
      </c>
      <c r="C20" s="1305"/>
      <c r="D20" s="1305"/>
      <c r="E20" s="1306">
        <f>IF(E19=0,0%,(+E11/E19))</f>
        <v>0</v>
      </c>
      <c r="F20" s="1306"/>
      <c r="G20" s="1307">
        <f>IF(G11=0,0%,(+G11/G19))</f>
        <v>0</v>
      </c>
      <c r="H20" s="1970"/>
      <c r="I20" s="1308" t="s">
        <v>140</v>
      </c>
      <c r="J20" s="1287"/>
      <c r="K20" s="1308" t="s">
        <v>141</v>
      </c>
      <c r="L20" s="1738"/>
    </row>
    <row r="21" spans="2:24" s="1259" customFormat="1" ht="3" customHeight="1" x14ac:dyDescent="0.25">
      <c r="B21" s="1309"/>
      <c r="C21" s="1261"/>
      <c r="D21" s="1261"/>
      <c r="E21" s="1310"/>
      <c r="F21" s="1310"/>
      <c r="G21" s="1310"/>
      <c r="H21" s="1970"/>
      <c r="I21" s="1973">
        <f>+E22-E19</f>
        <v>0</v>
      </c>
      <c r="J21" s="1287"/>
      <c r="K21" s="1974">
        <f>+G22-G19</f>
        <v>0</v>
      </c>
      <c r="L21" s="1738"/>
    </row>
    <row r="22" spans="2:24" ht="12" x14ac:dyDescent="0.25">
      <c r="B22" s="1311" t="s">
        <v>142</v>
      </c>
      <c r="C22" s="1312"/>
      <c r="D22" s="1244" t="s">
        <v>136</v>
      </c>
      <c r="E22" s="1246">
        <v>0</v>
      </c>
      <c r="F22" s="1244" t="s">
        <v>137</v>
      </c>
      <c r="G22" s="1303">
        <v>0</v>
      </c>
      <c r="H22" s="1970"/>
      <c r="I22" s="1973"/>
      <c r="J22" s="1734"/>
      <c r="K22" s="1975"/>
      <c r="L22" s="1738"/>
      <c r="M22" s="1189"/>
      <c r="N22" s="1194"/>
      <c r="O22" s="1194"/>
    </row>
    <row r="23" spans="2:24" ht="12" x14ac:dyDescent="0.25">
      <c r="B23" s="1313" t="s">
        <v>143</v>
      </c>
      <c r="C23" s="1314"/>
      <c r="D23" s="1314"/>
      <c r="E23" s="1306">
        <f>IF(E22=0,0%,(+E11/E22))</f>
        <v>0</v>
      </c>
      <c r="F23" s="1314"/>
      <c r="G23" s="1307">
        <f>IF(G11=0,0%,(+G11/G22))</f>
        <v>0</v>
      </c>
      <c r="H23" s="1971"/>
      <c r="I23" s="1730" t="str">
        <f>IF(I21&gt;0,+I21/E19,"N/A")</f>
        <v>N/A</v>
      </c>
      <c r="J23" s="1316"/>
      <c r="K23" s="1315" t="str">
        <f>IF(K21&gt;0,+K21/G19,"N/A")</f>
        <v>N/A</v>
      </c>
      <c r="L23" s="1739"/>
      <c r="M23" s="1189"/>
      <c r="N23" s="1194"/>
      <c r="O23" s="1194"/>
    </row>
    <row r="24" spans="2:24" ht="12" customHeight="1" x14ac:dyDescent="0.25">
      <c r="H24" s="1317"/>
      <c r="M24" s="1189"/>
      <c r="N24" s="1194"/>
      <c r="O24" s="1194"/>
    </row>
    <row r="25" spans="2:24" ht="12" customHeight="1" x14ac:dyDescent="0.25">
      <c r="H25" s="1317"/>
      <c r="M25" s="1189"/>
      <c r="N25" s="1194"/>
      <c r="O25" s="1194"/>
    </row>
    <row r="26" spans="2:24" ht="12" customHeight="1" x14ac:dyDescent="0.25">
      <c r="B26" s="1429" t="s">
        <v>144</v>
      </c>
      <c r="C26" s="1967" t="s">
        <v>113</v>
      </c>
      <c r="D26" s="1967"/>
      <c r="E26" s="1967" t="str">
        <f>E2</f>
        <v>Principal Balance (UPB)</v>
      </c>
      <c r="F26" s="1967"/>
      <c r="G26" s="1967" t="s">
        <v>115</v>
      </c>
      <c r="H26" s="1967"/>
      <c r="I26" s="1234" t="s">
        <v>116</v>
      </c>
      <c r="J26" s="1234" t="s">
        <v>102</v>
      </c>
      <c r="K26" s="1235" t="s">
        <v>117</v>
      </c>
      <c r="L26" s="1236" t="s">
        <v>103</v>
      </c>
      <c r="M26" s="1189"/>
      <c r="N26" s="1388" t="s">
        <v>118</v>
      </c>
      <c r="O26" s="1389" t="s">
        <v>119</v>
      </c>
    </row>
    <row r="27" spans="2:24" ht="12" customHeight="1" x14ac:dyDescent="0.25">
      <c r="B27" s="1239" t="s">
        <v>120</v>
      </c>
      <c r="C27" s="1217">
        <v>0</v>
      </c>
      <c r="D27" s="1240">
        <f>IF(C27=0,0%,(C27/$C$35))</f>
        <v>0</v>
      </c>
      <c r="E27" s="1241">
        <v>0</v>
      </c>
      <c r="F27" s="1240">
        <f>IF(E27=0,0%,(E27/$E$35))</f>
        <v>0</v>
      </c>
      <c r="G27" s="1241">
        <v>0</v>
      </c>
      <c r="H27" s="1240">
        <f>IF(G27=0,0%,(G27/$G$35))</f>
        <v>0</v>
      </c>
      <c r="I27" s="1241">
        <v>0</v>
      </c>
      <c r="J27" s="1240" t="str">
        <f t="shared" ref="J27:J33" si="10">IF(I27&gt;0,G27/I27,"N/A")</f>
        <v>N/A</v>
      </c>
      <c r="K27" s="1241">
        <v>0</v>
      </c>
      <c r="L27" s="1427" t="str">
        <f t="shared" ref="L27:L35" si="11">IF(K27&gt;0,G27/K27,"N/A")</f>
        <v>N/A</v>
      </c>
      <c r="M27" s="1189"/>
      <c r="N27" s="1728" t="e">
        <f>E27/$E$35</f>
        <v>#DIV/0!</v>
      </c>
      <c r="O27" s="1728" t="e">
        <f>G27/$G$35</f>
        <v>#DIV/0!</v>
      </c>
    </row>
    <row r="28" spans="2:24" ht="12" customHeight="1" x14ac:dyDescent="0.25">
      <c r="B28" s="1239" t="s">
        <v>121</v>
      </c>
      <c r="C28" s="1217">
        <v>0</v>
      </c>
      <c r="D28" s="1240">
        <f t="shared" ref="D28:D34" si="12">IF(C28=0,0%,(C28/$C$35))</f>
        <v>0</v>
      </c>
      <c r="E28" s="1241">
        <v>0</v>
      </c>
      <c r="F28" s="1240">
        <f t="shared" ref="F28:F34" si="13">IF(E28=0,0%,(E28/$E$35))</f>
        <v>0</v>
      </c>
      <c r="G28" s="1241">
        <v>0</v>
      </c>
      <c r="H28" s="1240">
        <f t="shared" ref="H28:H33" si="14">IF(G28=0,0%,(G28/$G$35))</f>
        <v>0</v>
      </c>
      <c r="I28" s="1241">
        <v>0</v>
      </c>
      <c r="J28" s="1240" t="str">
        <f t="shared" si="10"/>
        <v>N/A</v>
      </c>
      <c r="K28" s="1241">
        <v>0</v>
      </c>
      <c r="L28" s="1427" t="str">
        <f t="shared" si="11"/>
        <v>N/A</v>
      </c>
      <c r="M28" s="1189"/>
      <c r="N28" s="1728" t="e">
        <f t="shared" ref="N28:N29" si="15">E28/$E$35</f>
        <v>#DIV/0!</v>
      </c>
      <c r="O28" s="1728" t="e">
        <f t="shared" ref="O28:O29" si="16">G28/$G$35</f>
        <v>#DIV/0!</v>
      </c>
    </row>
    <row r="29" spans="2:24" ht="12" customHeight="1" x14ac:dyDescent="0.25">
      <c r="B29" s="1239" t="s">
        <v>122</v>
      </c>
      <c r="C29" s="1217">
        <v>0</v>
      </c>
      <c r="D29" s="1240">
        <f t="shared" si="12"/>
        <v>0</v>
      </c>
      <c r="E29" s="1241">
        <v>0</v>
      </c>
      <c r="F29" s="1240">
        <f t="shared" si="13"/>
        <v>0</v>
      </c>
      <c r="G29" s="1241">
        <v>0</v>
      </c>
      <c r="H29" s="1240">
        <f t="shared" si="14"/>
        <v>0</v>
      </c>
      <c r="I29" s="1241">
        <v>0</v>
      </c>
      <c r="J29" s="1240" t="str">
        <f t="shared" si="10"/>
        <v>N/A</v>
      </c>
      <c r="K29" s="1241">
        <v>0</v>
      </c>
      <c r="L29" s="1427" t="str">
        <f t="shared" si="11"/>
        <v>N/A</v>
      </c>
      <c r="M29" s="1189"/>
      <c r="N29" s="1728" t="e">
        <f t="shared" si="15"/>
        <v>#DIV/0!</v>
      </c>
      <c r="O29" s="1728" t="e">
        <f t="shared" si="16"/>
        <v>#DIV/0!</v>
      </c>
    </row>
    <row r="30" spans="2:24" s="150" customFormat="1" ht="12" customHeight="1" x14ac:dyDescent="0.25">
      <c r="B30" s="1243" t="s">
        <v>123</v>
      </c>
      <c r="C30" s="1244">
        <f>SUM(C27:C29)</f>
        <v>0</v>
      </c>
      <c r="D30" s="1245">
        <f>IF(C30=0,0%,(C30/$C$35))</f>
        <v>0</v>
      </c>
      <c r="E30" s="1246">
        <f>SUM(E27:E29)</f>
        <v>0</v>
      </c>
      <c r="F30" s="1245">
        <f t="shared" si="13"/>
        <v>0</v>
      </c>
      <c r="G30" s="1246">
        <f>SUM(G27:G29)</f>
        <v>0</v>
      </c>
      <c r="H30" s="1245">
        <f t="shared" si="14"/>
        <v>0</v>
      </c>
      <c r="I30" s="1303">
        <f>SUM(I27:I29)</f>
        <v>0</v>
      </c>
      <c r="J30" s="1426" t="str">
        <f t="shared" si="10"/>
        <v>N/A</v>
      </c>
      <c r="K30" s="1246">
        <f>SUM(K27:K29)</f>
        <v>0</v>
      </c>
      <c r="L30" s="1426" t="str">
        <f t="shared" si="11"/>
        <v>N/A</v>
      </c>
      <c r="N30" s="1390" t="e">
        <f>SUM(N27:N29)</f>
        <v>#DIV/0!</v>
      </c>
      <c r="O30" s="1391" t="e">
        <f>SUM(O27:O29)</f>
        <v>#DIV/0!</v>
      </c>
    </row>
    <row r="31" spans="2:24" ht="12" customHeight="1" x14ac:dyDescent="0.25">
      <c r="B31" s="1239" t="s">
        <v>124</v>
      </c>
      <c r="C31" s="1217">
        <v>0</v>
      </c>
      <c r="D31" s="1240">
        <f t="shared" si="12"/>
        <v>0</v>
      </c>
      <c r="E31" s="1241">
        <v>0</v>
      </c>
      <c r="F31" s="1240">
        <f t="shared" si="13"/>
        <v>0</v>
      </c>
      <c r="G31" s="1241">
        <v>0</v>
      </c>
      <c r="H31" s="1240">
        <f t="shared" si="14"/>
        <v>0</v>
      </c>
      <c r="I31" s="1241">
        <v>0</v>
      </c>
      <c r="J31" s="1240" t="str">
        <f t="shared" si="10"/>
        <v>N/A</v>
      </c>
      <c r="K31" s="1241">
        <v>0</v>
      </c>
      <c r="L31" s="1427" t="str">
        <f t="shared" si="11"/>
        <v>N/A</v>
      </c>
      <c r="M31" s="1189"/>
      <c r="N31" s="1728" t="e">
        <f>E31/$E$35</f>
        <v>#DIV/0!</v>
      </c>
      <c r="O31" s="1728" t="e">
        <f>G31/$G$35</f>
        <v>#DIV/0!</v>
      </c>
    </row>
    <row r="32" spans="2:24" ht="12" customHeight="1" x14ac:dyDescent="0.25">
      <c r="B32" s="1239" t="s">
        <v>125</v>
      </c>
      <c r="C32" s="1217">
        <v>0</v>
      </c>
      <c r="D32" s="1240">
        <f t="shared" si="12"/>
        <v>0</v>
      </c>
      <c r="E32" s="1241">
        <v>0</v>
      </c>
      <c r="F32" s="1240">
        <f t="shared" si="13"/>
        <v>0</v>
      </c>
      <c r="G32" s="1241">
        <v>0</v>
      </c>
      <c r="H32" s="1240">
        <f t="shared" si="14"/>
        <v>0</v>
      </c>
      <c r="I32" s="1241">
        <v>0</v>
      </c>
      <c r="J32" s="1240" t="str">
        <f t="shared" si="10"/>
        <v>N/A</v>
      </c>
      <c r="K32" s="1241">
        <v>0</v>
      </c>
      <c r="L32" s="1427" t="str">
        <f t="shared" si="11"/>
        <v>N/A</v>
      </c>
      <c r="M32" s="1189"/>
      <c r="N32" s="1728" t="e">
        <f t="shared" ref="N32:N33" si="17">E32/$E$35</f>
        <v>#DIV/0!</v>
      </c>
      <c r="O32" s="1728" t="e">
        <f t="shared" ref="O32:O33" si="18">G32/$G$35</f>
        <v>#DIV/0!</v>
      </c>
    </row>
    <row r="33" spans="2:24" ht="12" customHeight="1" x14ac:dyDescent="0.25">
      <c r="B33" s="1239" t="s">
        <v>126</v>
      </c>
      <c r="C33" s="1217">
        <v>0</v>
      </c>
      <c r="D33" s="1240">
        <f t="shared" si="12"/>
        <v>0</v>
      </c>
      <c r="E33" s="1241">
        <v>0</v>
      </c>
      <c r="F33" s="1240">
        <f t="shared" si="13"/>
        <v>0</v>
      </c>
      <c r="G33" s="1241">
        <v>0</v>
      </c>
      <c r="H33" s="1240">
        <f t="shared" si="14"/>
        <v>0</v>
      </c>
      <c r="I33" s="1241">
        <v>0</v>
      </c>
      <c r="J33" s="1240" t="str">
        <f t="shared" si="10"/>
        <v>N/A</v>
      </c>
      <c r="K33" s="1241">
        <v>0</v>
      </c>
      <c r="L33" s="1427" t="str">
        <f t="shared" si="11"/>
        <v>N/A</v>
      </c>
      <c r="M33" s="1189"/>
      <c r="N33" s="1728" t="e">
        <f t="shared" si="17"/>
        <v>#DIV/0!</v>
      </c>
      <c r="O33" s="1728" t="e">
        <f t="shared" si="18"/>
        <v>#DIV/0!</v>
      </c>
    </row>
    <row r="34" spans="2:24" s="150" customFormat="1" ht="12" customHeight="1" thickBot="1" x14ac:dyDescent="0.3">
      <c r="B34" s="1243" t="s">
        <v>127</v>
      </c>
      <c r="C34" s="1249">
        <f>SUM(C31:C33)</f>
        <v>0</v>
      </c>
      <c r="D34" s="1245">
        <f t="shared" si="12"/>
        <v>0</v>
      </c>
      <c r="E34" s="1250">
        <f>SUM(E31:E33)</f>
        <v>0</v>
      </c>
      <c r="F34" s="1245">
        <f t="shared" si="13"/>
        <v>0</v>
      </c>
      <c r="G34" s="1250">
        <f>SUM(G31:G33)</f>
        <v>0</v>
      </c>
      <c r="H34" s="1245">
        <f>IF(G34=0,0%,(G34/$G$35))</f>
        <v>0</v>
      </c>
      <c r="I34" s="1740">
        <f>SUM(I31:I33)</f>
        <v>0</v>
      </c>
      <c r="J34" s="1252" t="str">
        <f>IF(I34&gt;0, G34/I34, "N/A")</f>
        <v>N/A</v>
      </c>
      <c r="K34" s="1650">
        <f>SUM(K31:K33)</f>
        <v>0</v>
      </c>
      <c r="L34" s="1252" t="str">
        <f t="shared" si="11"/>
        <v>N/A</v>
      </c>
      <c r="N34" s="1390" t="e">
        <f>SUM(N31:N33)</f>
        <v>#DIV/0!</v>
      </c>
      <c r="O34" s="1391" t="e">
        <f>SUM(O31:O33)</f>
        <v>#DIV/0!</v>
      </c>
    </row>
    <row r="35" spans="2:24" s="150" customFormat="1" ht="12" customHeight="1" thickTop="1" x14ac:dyDescent="0.25">
      <c r="B35" s="1253" t="s">
        <v>128</v>
      </c>
      <c r="C35" s="1254">
        <f t="shared" ref="C35:I35" si="19">C30+C34</f>
        <v>0</v>
      </c>
      <c r="D35" s="1255">
        <f t="shared" si="19"/>
        <v>0</v>
      </c>
      <c r="E35" s="1256">
        <f t="shared" si="19"/>
        <v>0</v>
      </c>
      <c r="F35" s="1255">
        <f t="shared" si="19"/>
        <v>0</v>
      </c>
      <c r="G35" s="1257">
        <f>G30+G34</f>
        <v>0</v>
      </c>
      <c r="H35" s="1255">
        <f t="shared" si="19"/>
        <v>0</v>
      </c>
      <c r="I35" s="1741">
        <f t="shared" si="19"/>
        <v>0</v>
      </c>
      <c r="J35" s="1258" t="str">
        <f>IF(I35&gt;0,G35/I35,"N/A")</f>
        <v>N/A</v>
      </c>
      <c r="K35" s="1256">
        <f>K30+K34</f>
        <v>0</v>
      </c>
      <c r="L35" s="1258" t="str">
        <f t="shared" si="11"/>
        <v>N/A</v>
      </c>
      <c r="N35" s="1259"/>
      <c r="O35" s="1259"/>
    </row>
    <row r="36" spans="2:24" ht="3" customHeight="1" x14ac:dyDescent="0.25">
      <c r="B36" s="1260"/>
      <c r="C36" s="1261"/>
      <c r="D36" s="1262"/>
      <c r="E36" s="1263"/>
      <c r="F36" s="1264"/>
      <c r="G36" s="1265"/>
      <c r="H36" s="1266"/>
      <c r="I36" s="1263"/>
      <c r="J36" s="1731"/>
      <c r="K36" s="1263"/>
      <c r="L36" s="1735"/>
      <c r="M36" s="1189"/>
      <c r="N36" s="1259"/>
      <c r="O36" s="1259"/>
    </row>
    <row r="37" spans="2:24" ht="12" customHeight="1" x14ac:dyDescent="0.25">
      <c r="B37" s="1267" t="str">
        <f>B13</f>
        <v>Principal Balance (UPB):</v>
      </c>
      <c r="C37" s="1268"/>
      <c r="D37" s="1269"/>
      <c r="E37" s="1270">
        <v>0</v>
      </c>
      <c r="F37" s="1271">
        <f>IF(E37=0,0%,(+E37/(E34+E30)))</f>
        <v>0</v>
      </c>
      <c r="G37" s="1965"/>
      <c r="H37" s="1965"/>
      <c r="I37" s="1965"/>
      <c r="J37" s="1965"/>
      <c r="K37" s="1965"/>
      <c r="L37" s="1966"/>
      <c r="M37" s="1189"/>
      <c r="N37" s="1273" t="e">
        <f>+E37/E39</f>
        <v>#DIV/0!</v>
      </c>
      <c r="O37" s="1259"/>
    </row>
    <row r="38" spans="2:24" ht="12" customHeight="1" x14ac:dyDescent="0.25">
      <c r="B38" s="1274" t="str">
        <f>B14</f>
        <v>Remaining to Fund:</v>
      </c>
      <c r="C38" s="1275"/>
      <c r="D38" s="1276"/>
      <c r="E38" s="1277">
        <f>E30+E34-E37</f>
        <v>0</v>
      </c>
      <c r="F38" s="1278">
        <f>IF(E38=0,0%,(+E38/(E34+E30)))</f>
        <v>0</v>
      </c>
      <c r="G38" s="1965"/>
      <c r="H38" s="1965"/>
      <c r="I38" s="1279" t="s">
        <v>131</v>
      </c>
      <c r="J38" s="1732" t="str">
        <f>IF(I35&gt;0,((G30+G34)/(I30+I34)),"N/A")</f>
        <v>N/A</v>
      </c>
      <c r="K38" s="1279" t="s">
        <v>132</v>
      </c>
      <c r="L38" s="1736" t="str">
        <f>IF(K35&gt;0,((G30+G34)/(K30+K34)),"N/A")</f>
        <v>N/A</v>
      </c>
      <c r="M38" s="1189"/>
      <c r="N38" s="1273" t="e">
        <f>+E38/E39</f>
        <v>#DIV/0!</v>
      </c>
      <c r="O38" s="1194"/>
    </row>
    <row r="39" spans="2:24" ht="12" customHeight="1" x14ac:dyDescent="0.25">
      <c r="B39" s="1267" t="str">
        <f>B15</f>
        <v>Total:</v>
      </c>
      <c r="C39" s="1268"/>
      <c r="D39" s="1269"/>
      <c r="E39" s="1251">
        <f>SUM(E37:E38)</f>
        <v>0</v>
      </c>
      <c r="F39" s="1280">
        <f>SUM(F37:F38)</f>
        <v>0</v>
      </c>
      <c r="G39" s="1272"/>
      <c r="H39" s="1281"/>
      <c r="I39" s="1965"/>
      <c r="J39" s="1965"/>
      <c r="K39" s="1965"/>
      <c r="L39" s="1966"/>
      <c r="M39" s="1189"/>
      <c r="N39" s="1259"/>
      <c r="O39" s="1259"/>
    </row>
    <row r="40" spans="2:24" ht="3" customHeight="1" x14ac:dyDescent="0.25">
      <c r="B40" s="1282"/>
      <c r="D40" s="1283"/>
      <c r="E40" s="226"/>
      <c r="F40" s="1284"/>
      <c r="G40" s="1285"/>
      <c r="H40" s="1285"/>
      <c r="I40" s="1286"/>
      <c r="J40" s="1287"/>
      <c r="K40" s="1288"/>
      <c r="L40" s="1289"/>
      <c r="M40" s="1189"/>
      <c r="N40" s="1194"/>
      <c r="O40" s="1194"/>
    </row>
    <row r="41" spans="2:24" ht="12" customHeight="1" x14ac:dyDescent="0.25">
      <c r="B41" s="1290" t="s">
        <v>133</v>
      </c>
      <c r="C41" s="1291"/>
      <c r="D41" s="1292"/>
      <c r="E41" s="1293"/>
      <c r="F41" s="1291"/>
      <c r="G41" s="1294">
        <v>0</v>
      </c>
      <c r="H41" s="1968" t="str">
        <f>IF(G41&gt;0,(IF(G41&lt;=K28,"L/C Secured via A&amp;D Loan, Costs within A&amp;D Budget","Letter of Credit Cash Secured")),"")</f>
        <v/>
      </c>
      <c r="I41" s="1968"/>
      <c r="J41" s="1968"/>
      <c r="K41" s="1968"/>
      <c r="L41" s="1969"/>
      <c r="M41" s="1189"/>
      <c r="N41" s="1295">
        <f>+K28-G41</f>
        <v>0</v>
      </c>
      <c r="O41" s="1296" t="s">
        <v>134</v>
      </c>
      <c r="P41" s="1198"/>
      <c r="Q41" s="1198"/>
      <c r="R41" s="1198"/>
      <c r="S41" s="1198"/>
      <c r="T41" s="1198"/>
      <c r="U41" s="1198"/>
      <c r="V41" s="1198"/>
      <c r="W41" s="1198"/>
      <c r="X41" s="1198"/>
    </row>
    <row r="42" spans="2:24" ht="3" customHeight="1" x14ac:dyDescent="0.25">
      <c r="B42" s="1298"/>
      <c r="C42" s="1261"/>
      <c r="D42" s="1261"/>
      <c r="E42" s="1263"/>
      <c r="F42" s="1266"/>
      <c r="G42" s="1265"/>
      <c r="H42" s="1266"/>
      <c r="I42" s="1299"/>
      <c r="J42" s="1733"/>
      <c r="K42" s="1299"/>
      <c r="L42" s="1737"/>
      <c r="M42" s="1189"/>
      <c r="N42" s="1194"/>
      <c r="O42" s="1194"/>
    </row>
    <row r="43" spans="2:24" ht="12" customHeight="1" x14ac:dyDescent="0.25">
      <c r="B43" s="1300" t="s">
        <v>135</v>
      </c>
      <c r="C43" s="1244"/>
      <c r="D43" s="1244"/>
      <c r="E43" s="1301"/>
      <c r="F43" s="1302"/>
      <c r="G43" s="1303">
        <v>0</v>
      </c>
      <c r="H43" s="1970"/>
      <c r="I43" s="1976" t="s">
        <v>138</v>
      </c>
      <c r="J43" s="1977"/>
      <c r="K43" s="1978"/>
      <c r="L43" s="1738"/>
      <c r="M43" s="1189"/>
      <c r="N43" s="1194"/>
      <c r="O43" s="1194"/>
    </row>
    <row r="44" spans="2:24" ht="12" customHeight="1" x14ac:dyDescent="0.25">
      <c r="B44" s="1304" t="s">
        <v>139</v>
      </c>
      <c r="C44" s="1305"/>
      <c r="D44" s="1305"/>
      <c r="E44" s="1306"/>
      <c r="F44" s="1306"/>
      <c r="G44" s="1307">
        <f>IF(G43=0,0,(+G35/G43))</f>
        <v>0</v>
      </c>
      <c r="H44" s="1970"/>
      <c r="I44" s="1979"/>
      <c r="J44" s="1980"/>
      <c r="K44" s="1981"/>
      <c r="L44" s="1738"/>
      <c r="M44" s="1189"/>
      <c r="N44" s="1194"/>
      <c r="O44" s="1194"/>
    </row>
    <row r="45" spans="2:24" ht="3" customHeight="1" x14ac:dyDescent="0.25">
      <c r="B45" s="1309"/>
      <c r="C45" s="1261"/>
      <c r="D45" s="1261"/>
      <c r="E45" s="1310"/>
      <c r="F45" s="1310"/>
      <c r="G45" s="1310"/>
      <c r="H45" s="1970"/>
      <c r="I45" s="1982"/>
      <c r="J45" s="1983"/>
      <c r="K45" s="1984"/>
      <c r="L45" s="1738"/>
      <c r="M45" s="1189"/>
      <c r="N45" s="1194"/>
      <c r="O45" s="1194"/>
    </row>
    <row r="46" spans="2:24" ht="12" customHeight="1" x14ac:dyDescent="0.25">
      <c r="B46" s="1311" t="s">
        <v>142</v>
      </c>
      <c r="C46" s="1312"/>
      <c r="D46" s="1244"/>
      <c r="E46" s="1246"/>
      <c r="F46" s="1244"/>
      <c r="G46" s="1303">
        <f>+G43+I46</f>
        <v>0</v>
      </c>
      <c r="H46" s="1970"/>
      <c r="I46" s="1985">
        <v>0</v>
      </c>
      <c r="J46" s="1985"/>
      <c r="K46" s="1985"/>
      <c r="L46" s="1738"/>
      <c r="M46" s="1189"/>
      <c r="N46" s="1194"/>
      <c r="O46" s="1194"/>
    </row>
    <row r="47" spans="2:24" ht="12" customHeight="1" x14ac:dyDescent="0.25">
      <c r="B47" s="1313" t="s">
        <v>143</v>
      </c>
      <c r="C47" s="1314"/>
      <c r="D47" s="1314"/>
      <c r="E47" s="1306"/>
      <c r="F47" s="1314"/>
      <c r="G47" s="1307">
        <f>IF(G46=0,0,(+G35/G46))</f>
        <v>0</v>
      </c>
      <c r="H47" s="1971"/>
      <c r="I47" s="1986" t="str">
        <f>IF(I46=0,"No Increase/Decrease",I46/G43)</f>
        <v>No Increase/Decrease</v>
      </c>
      <c r="J47" s="1987"/>
      <c r="K47" s="1988"/>
      <c r="L47" s="1739"/>
      <c r="M47" s="1189"/>
      <c r="N47" s="1194"/>
      <c r="O47" s="1194"/>
    </row>
    <row r="48" spans="2:24" ht="12" customHeight="1" x14ac:dyDescent="0.25">
      <c r="H48" s="1317"/>
      <c r="M48" s="1189"/>
      <c r="N48" s="1194"/>
      <c r="O48" s="1194"/>
    </row>
  </sheetData>
  <sheetProtection formatCells="0" formatColumns="0" formatRows="0" insertColumns="0" insertRows="0" deleteColumns="0" deleteRows="0"/>
  <mergeCells count="28">
    <mergeCell ref="G38:H38"/>
    <mergeCell ref="I39:J39"/>
    <mergeCell ref="K39:L39"/>
    <mergeCell ref="H41:L41"/>
    <mergeCell ref="H43:H47"/>
    <mergeCell ref="I43:K45"/>
    <mergeCell ref="I46:K46"/>
    <mergeCell ref="I47:K47"/>
    <mergeCell ref="C26:D26"/>
    <mergeCell ref="E26:F26"/>
    <mergeCell ref="G26:H26"/>
    <mergeCell ref="G37:H37"/>
    <mergeCell ref="I37:J37"/>
    <mergeCell ref="K37:L37"/>
    <mergeCell ref="G14:H14"/>
    <mergeCell ref="I15:J15"/>
    <mergeCell ref="K15:L15"/>
    <mergeCell ref="H17:L17"/>
    <mergeCell ref="H19:H23"/>
    <mergeCell ref="I19:K19"/>
    <mergeCell ref="I21:I22"/>
    <mergeCell ref="K21:K22"/>
    <mergeCell ref="K13:L13"/>
    <mergeCell ref="C2:D2"/>
    <mergeCell ref="E2:F2"/>
    <mergeCell ref="G2:H2"/>
    <mergeCell ref="G13:H13"/>
    <mergeCell ref="I13:J13"/>
  </mergeCells>
  <conditionalFormatting sqref="H17:L17">
    <cfRule type="containsText" dxfId="9" priority="5" operator="containsText" text="L/C Cash Secured">
      <formula>NOT(ISERROR(SEARCH("L/C Cash Secured",H17)))</formula>
    </cfRule>
    <cfRule type="expression" dxfId="8" priority="6">
      <formula>$G$4&lt;$G$17</formula>
    </cfRule>
  </conditionalFormatting>
  <conditionalFormatting sqref="H41:L41">
    <cfRule type="containsText" dxfId="7" priority="2" operator="containsText" text="L/C Cash Secured">
      <formula>NOT(ISERROR(SEARCH("L/C Cash Secured",H41)))</formula>
    </cfRule>
    <cfRule type="expression" dxfId="6" priority="3">
      <formula>$G$4&lt;$G$17</formula>
    </cfRule>
  </conditionalFormatting>
  <conditionalFormatting sqref="N17">
    <cfRule type="cellIs" dxfId="5" priority="4" operator="lessThan">
      <formula>0</formula>
    </cfRule>
  </conditionalFormatting>
  <conditionalFormatting sqref="N41">
    <cfRule type="cellIs" dxfId="4" priority="1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D8F6-7D3F-4CA6-AC0F-D9ABB6A77C02}">
  <dimension ref="B1:F8"/>
  <sheetViews>
    <sheetView showGridLines="0" zoomScaleNormal="100" workbookViewId="0"/>
  </sheetViews>
  <sheetFormatPr defaultColWidth="8.85546875" defaultRowHeight="12.75" x14ac:dyDescent="0.25"/>
  <cols>
    <col min="1" max="1" width="1.7109375" style="3" customWidth="1"/>
    <col min="2" max="2" width="25.7109375" style="3" customWidth="1"/>
    <col min="3" max="4" width="14.7109375" style="1473" customWidth="1"/>
    <col min="5" max="5" width="14.7109375" style="1470" customWidth="1"/>
    <col min="6" max="16384" width="8.85546875" style="3"/>
  </cols>
  <sheetData>
    <row r="1" spans="2:6" ht="9.9499999999999993" customHeight="1" thickBot="1" x14ac:dyDescent="0.3"/>
    <row r="2" spans="2:6" s="1466" customFormat="1" ht="26.45" customHeight="1" thickBot="1" x14ac:dyDescent="0.3">
      <c r="B2" s="1478" t="s">
        <v>145</v>
      </c>
      <c r="C2" s="1481" t="s">
        <v>146</v>
      </c>
      <c r="D2" s="1481" t="s">
        <v>147</v>
      </c>
      <c r="E2" s="1479" t="s">
        <v>148</v>
      </c>
      <c r="F2" s="1480"/>
    </row>
    <row r="3" spans="2:6" ht="15" customHeight="1" x14ac:dyDescent="0.25">
      <c r="B3" s="1467" t="s">
        <v>149</v>
      </c>
      <c r="C3" s="1474">
        <v>0</v>
      </c>
      <c r="D3" s="1474">
        <v>0</v>
      </c>
      <c r="E3" s="1471">
        <v>0</v>
      </c>
    </row>
    <row r="4" spans="2:6" ht="15" customHeight="1" x14ac:dyDescent="0.25">
      <c r="B4" s="1468" t="s">
        <v>150</v>
      </c>
      <c r="C4" s="1475">
        <v>0</v>
      </c>
      <c r="D4" s="1475">
        <v>0</v>
      </c>
      <c r="E4" s="1472">
        <v>0</v>
      </c>
    </row>
    <row r="5" spans="2:6" ht="15" customHeight="1" x14ac:dyDescent="0.25">
      <c r="B5" s="1468" t="s">
        <v>151</v>
      </c>
      <c r="C5" s="1475">
        <v>0</v>
      </c>
      <c r="D5" s="1475">
        <v>0</v>
      </c>
      <c r="E5" s="1472">
        <v>0</v>
      </c>
    </row>
    <row r="6" spans="2:6" s="1466" customFormat="1" ht="15" customHeight="1" thickBot="1" x14ac:dyDescent="0.3">
      <c r="B6" s="1469" t="s">
        <v>57</v>
      </c>
      <c r="C6" s="1476">
        <f>SUM(C3:C5)</f>
        <v>0</v>
      </c>
      <c r="D6" s="1476">
        <f>SUM(D3:D5)</f>
        <v>0</v>
      </c>
      <c r="E6" s="1477" t="s">
        <v>152</v>
      </c>
    </row>
    <row r="7" spans="2:6" ht="15" customHeight="1" x14ac:dyDescent="0.25"/>
    <row r="8" spans="2:6" ht="15" customHeight="1" x14ac:dyDescent="0.25"/>
  </sheetData>
  <sheetProtection formatCells="0" formatColumns="0" formatRows="0" insertColumns="0" insertRows="0" deleteColumns="0" deleteRows="0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B702-1548-4EF8-920A-60919BE04841}">
  <sheetPr>
    <pageSetUpPr fitToPage="1"/>
  </sheetPr>
  <dimension ref="B1:M44"/>
  <sheetViews>
    <sheetView showGridLines="0" zoomScaleNormal="100" workbookViewId="0"/>
  </sheetViews>
  <sheetFormatPr defaultColWidth="9.140625" defaultRowHeight="12.75" x14ac:dyDescent="0.2"/>
  <cols>
    <col min="1" max="1" width="1.7109375" style="1" customWidth="1"/>
    <col min="2" max="2" width="7.7109375" style="1" bestFit="1" customWidth="1"/>
    <col min="3" max="3" width="12.7109375" style="1" customWidth="1"/>
    <col min="4" max="4" width="13.42578125" style="1" customWidth="1"/>
    <col min="5" max="8" width="14.7109375" style="1" customWidth="1"/>
    <col min="9" max="9" width="1.7109375" style="1" customWidth="1"/>
    <col min="10" max="10" width="7.28515625" style="1" bestFit="1" customWidth="1"/>
    <col min="11" max="11" width="12.5703125" style="1156" bestFit="1" customWidth="1"/>
    <col min="12" max="12" width="9.140625" style="1"/>
    <col min="13" max="13" width="9.7109375" style="1" bestFit="1" customWidth="1"/>
    <col min="14" max="16384" width="9.140625" style="1"/>
  </cols>
  <sheetData>
    <row r="1" spans="2:13" ht="9.9499999999999993" customHeight="1" thickBot="1" x14ac:dyDescent="0.25">
      <c r="D1" s="1155"/>
    </row>
    <row r="2" spans="2:13" ht="12.75" customHeight="1" x14ac:dyDescent="0.2">
      <c r="B2" s="1989" t="s">
        <v>153</v>
      </c>
      <c r="C2" s="1990"/>
      <c r="D2" s="1991"/>
      <c r="E2" s="1995" t="s">
        <v>154</v>
      </c>
      <c r="F2" s="1996"/>
      <c r="G2" s="1996"/>
      <c r="H2" s="1997"/>
      <c r="M2" s="1157"/>
    </row>
    <row r="3" spans="2:13" ht="12.75" customHeight="1" x14ac:dyDescent="0.2">
      <c r="B3" s="1992"/>
      <c r="C3" s="1993"/>
      <c r="D3" s="1994"/>
      <c r="E3" s="1158" t="s">
        <v>155</v>
      </c>
      <c r="F3" s="1158" t="s">
        <v>156</v>
      </c>
      <c r="G3" s="1158" t="s">
        <v>157</v>
      </c>
      <c r="H3" s="1159" t="s">
        <v>158</v>
      </c>
      <c r="M3" s="1157"/>
    </row>
    <row r="4" spans="2:13" ht="12.75" customHeight="1" x14ac:dyDescent="0.2">
      <c r="B4" s="1160"/>
      <c r="C4" s="1171" t="s">
        <v>159</v>
      </c>
      <c r="D4" s="1172"/>
      <c r="E4" s="1181">
        <f>MIN(C6:C17)</f>
        <v>11840986</v>
      </c>
      <c r="F4" s="1181">
        <f>MAX(C6:C17)</f>
        <v>21169823</v>
      </c>
      <c r="G4" s="1181">
        <f>MEDIAN(C6:C17)</f>
        <v>14958378.75</v>
      </c>
      <c r="H4" s="1182">
        <f>AVERAGE(C6:C17)</f>
        <v>16061037.75</v>
      </c>
      <c r="J4" s="1161"/>
      <c r="M4" s="1157"/>
    </row>
    <row r="5" spans="2:13" ht="12.75" customHeight="1" x14ac:dyDescent="0.2">
      <c r="B5" s="1162"/>
      <c r="C5" s="1173"/>
      <c r="D5" s="1174" t="s">
        <v>160</v>
      </c>
      <c r="E5" s="1183">
        <f>MIN(D6:D17)</f>
        <v>9268168</v>
      </c>
      <c r="F5" s="1183">
        <f>MAX(D6:D17)</f>
        <v>13183552</v>
      </c>
      <c r="G5" s="1183">
        <f>MEDIAN(D6:D17)</f>
        <v>10896740.5</v>
      </c>
      <c r="H5" s="1184">
        <f>AVERAGE(D6:D17)</f>
        <v>11154409.583333334</v>
      </c>
      <c r="J5" s="1161"/>
    </row>
    <row r="6" spans="2:13" ht="12.75" customHeight="1" x14ac:dyDescent="0.2">
      <c r="B6" s="1179">
        <v>45504</v>
      </c>
      <c r="C6" s="1175">
        <v>15394240.5</v>
      </c>
      <c r="D6" s="1176">
        <v>10446004</v>
      </c>
      <c r="E6" s="1163"/>
      <c r="F6" s="1163"/>
      <c r="G6" s="1163"/>
      <c r="H6" s="1164"/>
      <c r="J6" s="1165">
        <f t="shared" ref="J6:J17" si="0">+D6/C6</f>
        <v>0.67856572722766029</v>
      </c>
    </row>
    <row r="7" spans="2:13" ht="12.75" customHeight="1" x14ac:dyDescent="0.2">
      <c r="B7" s="1166">
        <f t="shared" ref="B7:B17" si="1">EOMONTH(B6,1)</f>
        <v>45535</v>
      </c>
      <c r="C7" s="1175">
        <v>20657033</v>
      </c>
      <c r="D7" s="1176">
        <v>13183552</v>
      </c>
      <c r="E7" s="1163"/>
      <c r="F7" s="1163"/>
      <c r="G7" s="1163"/>
      <c r="H7" s="1164"/>
      <c r="J7" s="1165">
        <f t="shared" si="0"/>
        <v>0.63821130556358219</v>
      </c>
    </row>
    <row r="8" spans="2:13" ht="12.75" customHeight="1" x14ac:dyDescent="0.2">
      <c r="B8" s="1166">
        <f t="shared" si="1"/>
        <v>45565</v>
      </c>
      <c r="C8" s="1175">
        <v>21169823</v>
      </c>
      <c r="D8" s="1176">
        <v>12850402</v>
      </c>
      <c r="E8" s="1163"/>
      <c r="F8" s="1163"/>
      <c r="G8" s="1163"/>
      <c r="H8" s="1164"/>
      <c r="J8" s="1165">
        <f t="shared" si="0"/>
        <v>0.60701508935620296</v>
      </c>
    </row>
    <row r="9" spans="2:13" ht="12.75" customHeight="1" x14ac:dyDescent="0.2">
      <c r="B9" s="1166">
        <f t="shared" si="1"/>
        <v>45596</v>
      </c>
      <c r="C9" s="1175">
        <v>20806714</v>
      </c>
      <c r="D9" s="1176">
        <v>11730952</v>
      </c>
      <c r="E9" s="1163"/>
      <c r="F9" s="1163"/>
      <c r="G9" s="1163"/>
      <c r="H9" s="1164"/>
      <c r="J9" s="1165">
        <f t="shared" si="0"/>
        <v>0.56380608682370503</v>
      </c>
    </row>
    <row r="10" spans="2:13" ht="12.75" customHeight="1" x14ac:dyDescent="0.2">
      <c r="B10" s="1166">
        <f t="shared" si="1"/>
        <v>45626</v>
      </c>
      <c r="C10" s="1175">
        <v>18435914</v>
      </c>
      <c r="D10" s="1176">
        <v>13127384</v>
      </c>
      <c r="E10" s="1163"/>
      <c r="F10" s="1163"/>
      <c r="G10" s="1163"/>
      <c r="H10" s="1164"/>
      <c r="J10" s="1165">
        <f t="shared" si="0"/>
        <v>0.71205495968358279</v>
      </c>
    </row>
    <row r="11" spans="2:13" ht="12.75" customHeight="1" x14ac:dyDescent="0.2">
      <c r="B11" s="1166">
        <f t="shared" si="1"/>
        <v>45657</v>
      </c>
      <c r="C11" s="1175">
        <v>16874950.5</v>
      </c>
      <c r="D11" s="1176">
        <v>11751676</v>
      </c>
      <c r="E11" s="1163"/>
      <c r="F11" s="1163"/>
      <c r="G11" s="1163"/>
      <c r="H11" s="1164"/>
      <c r="J11" s="1165">
        <f t="shared" si="0"/>
        <v>0.69639765758127703</v>
      </c>
    </row>
    <row r="12" spans="2:13" ht="12.75" customHeight="1" x14ac:dyDescent="0.2">
      <c r="B12" s="1166">
        <f t="shared" si="1"/>
        <v>45688</v>
      </c>
      <c r="C12" s="1175">
        <v>14522517</v>
      </c>
      <c r="D12" s="1176">
        <v>9770459</v>
      </c>
      <c r="E12" s="1163"/>
      <c r="F12" s="1163"/>
      <c r="G12" s="1163"/>
      <c r="H12" s="1164"/>
      <c r="J12" s="1165">
        <f t="shared" si="0"/>
        <v>0.67278000087725842</v>
      </c>
    </row>
    <row r="13" spans="2:13" ht="12.75" customHeight="1" x14ac:dyDescent="0.2">
      <c r="B13" s="1166">
        <f t="shared" si="1"/>
        <v>45716</v>
      </c>
      <c r="C13" s="1175">
        <v>13857610</v>
      </c>
      <c r="D13" s="1176">
        <v>9508671</v>
      </c>
      <c r="E13" s="1163"/>
      <c r="F13" s="1163"/>
      <c r="G13" s="1163"/>
      <c r="H13" s="1164"/>
      <c r="J13" s="1165">
        <f t="shared" si="0"/>
        <v>0.68616962087979094</v>
      </c>
    </row>
    <row r="14" spans="2:13" ht="12.75" customHeight="1" x14ac:dyDescent="0.2">
      <c r="B14" s="1166">
        <f t="shared" si="1"/>
        <v>45747</v>
      </c>
      <c r="C14" s="1175">
        <v>14102190</v>
      </c>
      <c r="D14" s="1176">
        <v>9268168</v>
      </c>
      <c r="E14" s="1163"/>
      <c r="F14" s="1163"/>
      <c r="G14" s="1163"/>
      <c r="H14" s="1164"/>
      <c r="J14" s="1165">
        <f t="shared" si="0"/>
        <v>0.65721480138900412</v>
      </c>
    </row>
    <row r="15" spans="2:13" ht="12.75" customHeight="1" x14ac:dyDescent="0.2">
      <c r="B15" s="1166">
        <f t="shared" si="1"/>
        <v>45777</v>
      </c>
      <c r="C15" s="1175">
        <v>13229489</v>
      </c>
      <c r="D15" s="1176">
        <v>11347477</v>
      </c>
      <c r="E15" s="1163"/>
      <c r="F15" s="1163"/>
      <c r="G15" s="1163"/>
      <c r="H15" s="1164"/>
      <c r="J15" s="1165">
        <f t="shared" si="0"/>
        <v>0.8577411417780384</v>
      </c>
    </row>
    <row r="16" spans="2:13" ht="12.75" customHeight="1" x14ac:dyDescent="0.2">
      <c r="B16" s="1166">
        <f t="shared" si="1"/>
        <v>45808</v>
      </c>
      <c r="C16" s="1175">
        <v>11840986</v>
      </c>
      <c r="D16" s="1176">
        <v>10434085</v>
      </c>
      <c r="E16" s="1163"/>
      <c r="F16" s="1163"/>
      <c r="G16" s="1163"/>
      <c r="H16" s="1164"/>
      <c r="J16" s="1165">
        <f t="shared" si="0"/>
        <v>0.88118379668720159</v>
      </c>
      <c r="K16" s="1"/>
    </row>
    <row r="17" spans="2:11" ht="12.75" customHeight="1" thickBot="1" x14ac:dyDescent="0.25">
      <c r="B17" s="1180">
        <f t="shared" si="1"/>
        <v>45838</v>
      </c>
      <c r="C17" s="1177">
        <v>11840986</v>
      </c>
      <c r="D17" s="1178">
        <v>10434085</v>
      </c>
      <c r="E17" s="1167"/>
      <c r="F17" s="1167"/>
      <c r="G17" s="1167"/>
      <c r="H17" s="1168"/>
      <c r="J17" s="1165">
        <f t="shared" si="0"/>
        <v>0.88118379668720159</v>
      </c>
      <c r="K17" s="1"/>
    </row>
    <row r="18" spans="2:11" ht="12.75" customHeight="1" x14ac:dyDescent="0.2">
      <c r="K18" s="1"/>
    </row>
    <row r="19" spans="2:11" x14ac:dyDescent="0.2">
      <c r="H19" s="1169" t="s">
        <v>161</v>
      </c>
      <c r="J19" s="1170">
        <f>MIN(J6:J17)</f>
        <v>0.56380608682370503</v>
      </c>
      <c r="K19" s="1"/>
    </row>
    <row r="20" spans="2:11" x14ac:dyDescent="0.2">
      <c r="H20" s="1169" t="s">
        <v>162</v>
      </c>
      <c r="J20" s="1170">
        <f>MAX(J6:J17)</f>
        <v>0.88118379668720159</v>
      </c>
      <c r="K20" s="1"/>
    </row>
    <row r="21" spans="2:11" x14ac:dyDescent="0.2">
      <c r="H21" s="1169" t="s">
        <v>163</v>
      </c>
      <c r="J21" s="1170">
        <f>AVERAGE(J6:J17)</f>
        <v>0.71102699871120867</v>
      </c>
      <c r="K21" s="1"/>
    </row>
    <row r="24" spans="2:11" ht="13.5" thickBot="1" x14ac:dyDescent="0.25"/>
    <row r="25" spans="2:11" x14ac:dyDescent="0.2">
      <c r="B25" s="1998" t="s">
        <v>164</v>
      </c>
      <c r="C25" s="1999"/>
      <c r="D25" s="2000"/>
      <c r="E25" s="1995" t="s">
        <v>154</v>
      </c>
      <c r="F25" s="1996"/>
      <c r="G25" s="1996"/>
      <c r="H25" s="1997"/>
    </row>
    <row r="26" spans="2:11" x14ac:dyDescent="0.2">
      <c r="B26" s="2001"/>
      <c r="C26" s="2002"/>
      <c r="D26" s="2003"/>
      <c r="E26" s="1158" t="s">
        <v>155</v>
      </c>
      <c r="F26" s="1158" t="s">
        <v>156</v>
      </c>
      <c r="G26" s="1158" t="s">
        <v>157</v>
      </c>
      <c r="H26" s="1159" t="s">
        <v>158</v>
      </c>
    </row>
    <row r="27" spans="2:11" x14ac:dyDescent="0.2">
      <c r="B27" s="1160"/>
      <c r="C27" s="1395" t="s">
        <v>159</v>
      </c>
      <c r="D27" s="1396"/>
      <c r="E27" s="1397">
        <f>MIN(C29:C40)</f>
        <v>8452915</v>
      </c>
      <c r="F27" s="1397">
        <f>MAX(C29:C40)</f>
        <v>15992289.42</v>
      </c>
      <c r="G27" s="1397">
        <f>MEDIAN(C29:C40)</f>
        <v>13388813.5</v>
      </c>
      <c r="H27" s="1398">
        <f>AVERAGE(C29:C40)</f>
        <v>12111222.785000002</v>
      </c>
      <c r="J27" s="1161"/>
    </row>
    <row r="28" spans="2:11" x14ac:dyDescent="0.2">
      <c r="B28" s="1162"/>
      <c r="C28" s="1399"/>
      <c r="D28" s="1400" t="s">
        <v>165</v>
      </c>
      <c r="E28" s="1401">
        <f>MIN(D29:D40)</f>
        <v>2824919.82</v>
      </c>
      <c r="F28" s="1401">
        <f>MAX(D29:D40)</f>
        <v>8013155.6799999997</v>
      </c>
      <c r="G28" s="1401">
        <f>MEDIAN(D29:D40)</f>
        <v>5658911.7949999999</v>
      </c>
      <c r="H28" s="1402">
        <f>AVERAGE(D29:D40)</f>
        <v>5310410.8458333341</v>
      </c>
      <c r="J28" s="1161"/>
    </row>
    <row r="29" spans="2:11" x14ac:dyDescent="0.2">
      <c r="B29" s="1403">
        <v>45626</v>
      </c>
      <c r="C29" s="1404">
        <v>10504115</v>
      </c>
      <c r="D29" s="1405">
        <v>4454508.13</v>
      </c>
      <c r="E29" s="1163"/>
      <c r="F29" s="1163"/>
      <c r="G29" s="1163"/>
      <c r="H29" s="1164"/>
      <c r="J29" s="1165">
        <f t="shared" ref="J29:J40" si="2">+D29/C29</f>
        <v>0.42407267342370109</v>
      </c>
    </row>
    <row r="30" spans="2:11" x14ac:dyDescent="0.2">
      <c r="B30" s="1166">
        <f t="shared" ref="B30:B40" si="3">EOMONTH(B29,1)</f>
        <v>45657</v>
      </c>
      <c r="C30" s="1404">
        <v>8956915</v>
      </c>
      <c r="D30" s="1405">
        <v>2877101.56</v>
      </c>
      <c r="E30" s="1163"/>
      <c r="F30" s="1163"/>
      <c r="G30" s="1163"/>
      <c r="H30" s="1164"/>
      <c r="J30" s="1165">
        <f t="shared" si="2"/>
        <v>0.32121568196192551</v>
      </c>
    </row>
    <row r="31" spans="2:11" x14ac:dyDescent="0.2">
      <c r="B31" s="1166">
        <f t="shared" si="3"/>
        <v>45688</v>
      </c>
      <c r="C31" s="1404">
        <v>8956915</v>
      </c>
      <c r="D31" s="1405">
        <v>2895988.6</v>
      </c>
      <c r="E31" s="1163"/>
      <c r="F31" s="1163"/>
      <c r="G31" s="1163"/>
      <c r="H31" s="1164"/>
      <c r="J31" s="1165">
        <f t="shared" si="2"/>
        <v>0.32332433656007675</v>
      </c>
    </row>
    <row r="32" spans="2:11" x14ac:dyDescent="0.2">
      <c r="B32" s="1166">
        <f t="shared" si="3"/>
        <v>45716</v>
      </c>
      <c r="C32" s="1404">
        <v>8452915</v>
      </c>
      <c r="D32" s="1405">
        <v>2824919.82</v>
      </c>
      <c r="E32" s="1163"/>
      <c r="F32" s="1163"/>
      <c r="G32" s="1163"/>
      <c r="H32" s="1164"/>
      <c r="J32" s="1165">
        <f t="shared" si="2"/>
        <v>0.33419475056829506</v>
      </c>
    </row>
    <row r="33" spans="2:10" x14ac:dyDescent="0.2">
      <c r="B33" s="1166">
        <f t="shared" si="3"/>
        <v>45747</v>
      </c>
      <c r="C33" s="1404">
        <v>8452915</v>
      </c>
      <c r="D33" s="1405">
        <v>2833827.4</v>
      </c>
      <c r="E33" s="1163"/>
      <c r="F33" s="1163"/>
      <c r="G33" s="1163"/>
      <c r="H33" s="1164"/>
      <c r="J33" s="1165">
        <f t="shared" si="2"/>
        <v>0.33524853852191816</v>
      </c>
    </row>
    <row r="34" spans="2:10" x14ac:dyDescent="0.2">
      <c r="B34" s="1166">
        <f t="shared" si="3"/>
        <v>45777</v>
      </c>
      <c r="C34" s="1404">
        <v>14411627</v>
      </c>
      <c r="D34" s="1405">
        <v>6997804.3399999999</v>
      </c>
      <c r="E34" s="1163"/>
      <c r="F34" s="1163"/>
      <c r="G34" s="1163"/>
      <c r="H34" s="1164"/>
      <c r="J34" s="1165">
        <f t="shared" si="2"/>
        <v>0.48556657343407511</v>
      </c>
    </row>
    <row r="35" spans="2:10" x14ac:dyDescent="0.2">
      <c r="B35" s="1166">
        <f t="shared" si="3"/>
        <v>45808</v>
      </c>
      <c r="C35" s="1404">
        <v>13378907</v>
      </c>
      <c r="D35" s="1405">
        <v>4923215.25</v>
      </c>
      <c r="E35" s="1163"/>
      <c r="F35" s="1163"/>
      <c r="G35" s="1163"/>
      <c r="H35" s="1164"/>
      <c r="J35" s="1165">
        <f t="shared" si="2"/>
        <v>0.36798336740064042</v>
      </c>
    </row>
    <row r="36" spans="2:10" x14ac:dyDescent="0.2">
      <c r="B36" s="1166">
        <f t="shared" si="3"/>
        <v>45838</v>
      </c>
      <c r="C36" s="1404">
        <v>15992289.42</v>
      </c>
      <c r="D36" s="1405">
        <v>8013155.6799999997</v>
      </c>
      <c r="E36" s="1163"/>
      <c r="F36" s="1163"/>
      <c r="G36" s="1163"/>
      <c r="H36" s="1164"/>
      <c r="J36" s="1165">
        <f t="shared" si="2"/>
        <v>0.50106369823314512</v>
      </c>
    </row>
    <row r="37" spans="2:10" x14ac:dyDescent="0.2">
      <c r="B37" s="1166">
        <f t="shared" si="3"/>
        <v>45869</v>
      </c>
      <c r="C37" s="1404">
        <v>14715317</v>
      </c>
      <c r="D37" s="1405">
        <v>7149665.79</v>
      </c>
      <c r="E37" s="1163"/>
      <c r="F37" s="1163"/>
      <c r="G37" s="1163"/>
      <c r="H37" s="1164"/>
      <c r="J37" s="1165">
        <f t="shared" si="2"/>
        <v>0.48586556375238127</v>
      </c>
    </row>
    <row r="38" spans="2:10" x14ac:dyDescent="0.2">
      <c r="B38" s="1166">
        <f t="shared" si="3"/>
        <v>45900</v>
      </c>
      <c r="C38" s="1404">
        <v>14057019</v>
      </c>
      <c r="D38" s="1405">
        <v>6808477.9699999997</v>
      </c>
      <c r="E38" s="1163"/>
      <c r="F38" s="1163"/>
      <c r="G38" s="1163"/>
      <c r="H38" s="1164"/>
      <c r="J38" s="1165">
        <f t="shared" si="2"/>
        <v>0.48434721259180197</v>
      </c>
    </row>
    <row r="39" spans="2:10" x14ac:dyDescent="0.2">
      <c r="B39" s="1166">
        <f t="shared" si="3"/>
        <v>45930</v>
      </c>
      <c r="C39" s="1404">
        <v>14057019</v>
      </c>
      <c r="D39" s="1405">
        <v>7551657.2699999996</v>
      </c>
      <c r="E39" s="1163"/>
      <c r="F39" s="1163"/>
      <c r="G39" s="1163"/>
      <c r="H39" s="1164"/>
      <c r="J39" s="1165">
        <f t="shared" si="2"/>
        <v>0.5372161245567072</v>
      </c>
    </row>
    <row r="40" spans="2:10" ht="13.5" thickBot="1" x14ac:dyDescent="0.25">
      <c r="B40" s="1406">
        <f t="shared" si="3"/>
        <v>45961</v>
      </c>
      <c r="C40" s="1407">
        <v>13398720</v>
      </c>
      <c r="D40" s="1408">
        <v>6394608.3399999999</v>
      </c>
      <c r="E40" s="1167"/>
      <c r="F40" s="1167"/>
      <c r="G40" s="1167"/>
      <c r="H40" s="1168"/>
      <c r="J40" s="1165">
        <f t="shared" si="2"/>
        <v>0.4772551661651262</v>
      </c>
    </row>
    <row r="42" spans="2:10" x14ac:dyDescent="0.2">
      <c r="H42" s="1169" t="s">
        <v>161</v>
      </c>
      <c r="J42" s="1170">
        <f>MIN(J29:J40)</f>
        <v>0.32121568196192551</v>
      </c>
    </row>
    <row r="43" spans="2:10" x14ac:dyDescent="0.2">
      <c r="H43" s="1169" t="s">
        <v>162</v>
      </c>
      <c r="J43" s="1170">
        <f>MAX(J29:J40)</f>
        <v>0.5372161245567072</v>
      </c>
    </row>
    <row r="44" spans="2:10" x14ac:dyDescent="0.2">
      <c r="H44" s="1169" t="s">
        <v>163</v>
      </c>
      <c r="J44" s="1170">
        <f>AVERAGE(J29:J40)</f>
        <v>0.42311280726414946</v>
      </c>
    </row>
  </sheetData>
  <sheetProtection formatCells="0" formatColumns="0" formatRows="0" insertColumns="0" insertRows="0"/>
  <mergeCells count="4">
    <mergeCell ref="B2:D3"/>
    <mergeCell ref="E2:H2"/>
    <mergeCell ref="B25:D26"/>
    <mergeCell ref="E25:H25"/>
  </mergeCells>
  <pageMargins left="0.7" right="0.7" top="0.75" bottom="0.75" header="0.3" footer="0.3"/>
  <pageSetup orientation="landscape" r:id="rId1"/>
  <ignoredErrors>
    <ignoredError sqref="B17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FFA2-75B7-4F5D-A17A-897DACF2201D}">
  <dimension ref="B1:J17"/>
  <sheetViews>
    <sheetView showGridLines="0" zoomScaleNormal="100" workbookViewId="0"/>
  </sheetViews>
  <sheetFormatPr defaultColWidth="8.85546875" defaultRowHeight="12.75" x14ac:dyDescent="0.2"/>
  <cols>
    <col min="1" max="1" width="1.7109375" style="1" customWidth="1"/>
    <col min="2" max="2" width="30.7109375" style="1" customWidth="1"/>
    <col min="3" max="3" width="20.7109375" style="1" customWidth="1"/>
    <col min="4" max="4" width="2.7109375" style="1" customWidth="1"/>
    <col min="5" max="5" width="20.7109375" style="1" customWidth="1"/>
    <col min="6" max="6" width="2.7109375" style="1" customWidth="1"/>
    <col min="7" max="7" width="20.7109375" style="1" customWidth="1"/>
    <col min="8" max="8" width="2.7109375" style="1" customWidth="1"/>
    <col min="9" max="9" width="20.7109375" style="1" customWidth="1"/>
    <col min="10" max="10" width="2.7109375" style="1" customWidth="1"/>
    <col min="11" max="16384" width="8.85546875" style="1"/>
  </cols>
  <sheetData>
    <row r="1" spans="2:10" ht="9.9499999999999993" customHeight="1" thickBot="1" x14ac:dyDescent="0.25">
      <c r="C1" s="3"/>
      <c r="D1" s="3"/>
      <c r="E1" s="3"/>
      <c r="F1" s="3"/>
      <c r="G1" s="3"/>
    </row>
    <row r="2" spans="2:10" ht="13.15" customHeight="1" thickBot="1" x14ac:dyDescent="0.25">
      <c r="B2" s="2005" t="s">
        <v>166</v>
      </c>
      <c r="C2" s="2006"/>
      <c r="D2" s="2006"/>
      <c r="E2" s="2006"/>
      <c r="F2" s="2006"/>
      <c r="G2" s="2006"/>
      <c r="H2" s="2006"/>
      <c r="I2" s="2006"/>
      <c r="J2" s="2007"/>
    </row>
    <row r="3" spans="2:10" ht="13.15" customHeight="1" x14ac:dyDescent="0.2">
      <c r="B3" s="1131" t="s">
        <v>167</v>
      </c>
      <c r="C3" s="2008" t="s">
        <v>168</v>
      </c>
      <c r="D3" s="2009"/>
      <c r="E3" s="2008" t="s">
        <v>169</v>
      </c>
      <c r="F3" s="2009"/>
      <c r="G3" s="2010" t="s">
        <v>170</v>
      </c>
      <c r="H3" s="2011"/>
      <c r="I3" s="2010" t="s">
        <v>171</v>
      </c>
      <c r="J3" s="2011"/>
    </row>
    <row r="4" spans="2:10" ht="13.15" customHeight="1" x14ac:dyDescent="0.2">
      <c r="B4" s="1132" t="s">
        <v>172</v>
      </c>
      <c r="C4" s="1142" t="s">
        <v>173</v>
      </c>
      <c r="D4" s="341"/>
      <c r="E4" s="1138" t="s">
        <v>174</v>
      </c>
      <c r="F4" s="341"/>
      <c r="G4" s="1138" t="s">
        <v>175</v>
      </c>
      <c r="H4" s="341"/>
      <c r="I4" s="1138" t="s">
        <v>176</v>
      </c>
      <c r="J4" s="341"/>
    </row>
    <row r="5" spans="2:10" ht="13.15" customHeight="1" x14ac:dyDescent="0.2">
      <c r="B5" s="1132" t="s">
        <v>177</v>
      </c>
      <c r="C5" s="1143" t="s">
        <v>178</v>
      </c>
      <c r="D5" s="342"/>
      <c r="E5" s="1138" t="s">
        <v>179</v>
      </c>
      <c r="F5" s="342"/>
      <c r="G5" s="1138" t="s">
        <v>180</v>
      </c>
      <c r="H5" s="342"/>
      <c r="I5" s="1138" t="s">
        <v>181</v>
      </c>
      <c r="J5" s="342"/>
    </row>
    <row r="6" spans="2:10" ht="13.15" customHeight="1" x14ac:dyDescent="0.2">
      <c r="B6" s="1132" t="s">
        <v>182</v>
      </c>
      <c r="C6" s="1143" t="s">
        <v>183</v>
      </c>
      <c r="D6" s="342"/>
      <c r="E6" s="1138" t="s">
        <v>184</v>
      </c>
      <c r="F6" s="342"/>
      <c r="G6" s="1138" t="s">
        <v>185</v>
      </c>
      <c r="H6" s="342"/>
      <c r="I6" s="1138" t="s">
        <v>186</v>
      </c>
      <c r="J6" s="342"/>
    </row>
    <row r="7" spans="2:10" ht="13.15" customHeight="1" x14ac:dyDescent="0.2">
      <c r="B7" s="1133" t="s">
        <v>187</v>
      </c>
      <c r="C7" s="1144" t="s">
        <v>188</v>
      </c>
      <c r="D7" s="343"/>
      <c r="E7" s="1139" t="s">
        <v>189</v>
      </c>
      <c r="F7" s="343"/>
      <c r="G7" s="1139" t="s">
        <v>190</v>
      </c>
      <c r="H7" s="343"/>
      <c r="I7" s="1139" t="s">
        <v>191</v>
      </c>
      <c r="J7" s="343"/>
    </row>
    <row r="8" spans="2:10" ht="13.15" customHeight="1" x14ac:dyDescent="0.2">
      <c r="B8" s="1133" t="s">
        <v>192</v>
      </c>
      <c r="C8" s="1145" t="s">
        <v>193</v>
      </c>
      <c r="D8" s="343"/>
      <c r="E8" s="1140" t="s">
        <v>194</v>
      </c>
      <c r="F8" s="343"/>
      <c r="G8" s="1140" t="s">
        <v>195</v>
      </c>
      <c r="H8" s="343"/>
      <c r="I8" s="1140" t="s">
        <v>196</v>
      </c>
      <c r="J8" s="343"/>
    </row>
    <row r="9" spans="2:10" ht="13.15" customHeight="1" thickBot="1" x14ac:dyDescent="0.25">
      <c r="B9" s="1134" t="s">
        <v>197</v>
      </c>
      <c r="C9" s="1146" t="s">
        <v>198</v>
      </c>
      <c r="D9" s="344"/>
      <c r="E9" s="1141" t="s">
        <v>199</v>
      </c>
      <c r="F9" s="344"/>
      <c r="G9" s="1141" t="s">
        <v>200</v>
      </c>
      <c r="H9" s="344"/>
      <c r="I9" s="1141" t="s">
        <v>201</v>
      </c>
      <c r="J9" s="344"/>
    </row>
    <row r="10" spans="2:10" s="2" customFormat="1" ht="13.15" customHeight="1" thickBot="1" x14ac:dyDescent="0.25">
      <c r="B10" s="4"/>
      <c r="C10" s="1137" t="s">
        <v>202</v>
      </c>
      <c r="D10" s="345"/>
      <c r="E10" s="1136"/>
      <c r="F10" s="345"/>
      <c r="G10" s="1135"/>
      <c r="H10" s="345"/>
      <c r="I10" s="1135"/>
      <c r="J10" s="345"/>
    </row>
    <row r="12" spans="2:10" x14ac:dyDescent="0.2">
      <c r="B12" s="5" t="s">
        <v>203</v>
      </c>
      <c r="C12" s="6"/>
      <c r="D12" s="6"/>
      <c r="E12" s="6"/>
      <c r="F12" s="6"/>
      <c r="G12" s="6"/>
      <c r="H12" s="6"/>
      <c r="I12" s="6"/>
    </row>
    <row r="13" spans="2:10" x14ac:dyDescent="0.2">
      <c r="B13" s="2004" t="s">
        <v>204</v>
      </c>
      <c r="C13" s="2004"/>
      <c r="D13" s="2004"/>
      <c r="E13" s="2004"/>
      <c r="F13" s="2004"/>
      <c r="G13" s="2004"/>
      <c r="H13" s="2004"/>
      <c r="I13" s="2004"/>
      <c r="J13" s="2004"/>
    </row>
    <row r="14" spans="2:10" x14ac:dyDescent="0.2">
      <c r="B14" s="2004"/>
      <c r="C14" s="2004"/>
      <c r="D14" s="2004"/>
      <c r="E14" s="2004"/>
      <c r="F14" s="2004"/>
      <c r="G14" s="2004"/>
      <c r="H14" s="2004"/>
      <c r="I14" s="2004"/>
      <c r="J14" s="2004"/>
    </row>
    <row r="15" spans="2:10" x14ac:dyDescent="0.2">
      <c r="B15" s="2004"/>
      <c r="C15" s="2004"/>
      <c r="D15" s="2004"/>
      <c r="E15" s="2004"/>
      <c r="F15" s="2004"/>
      <c r="G15" s="2004"/>
      <c r="H15" s="2004"/>
      <c r="I15" s="2004"/>
      <c r="J15" s="2004"/>
    </row>
    <row r="16" spans="2:10" x14ac:dyDescent="0.2">
      <c r="B16" s="2004"/>
      <c r="C16" s="2004"/>
      <c r="D16" s="2004"/>
      <c r="E16" s="2004"/>
      <c r="F16" s="2004"/>
      <c r="G16" s="2004"/>
      <c r="H16" s="2004"/>
      <c r="I16" s="2004"/>
      <c r="J16" s="2004"/>
    </row>
    <row r="17" spans="2:10" x14ac:dyDescent="0.2">
      <c r="B17" s="2004"/>
      <c r="C17" s="2004"/>
      <c r="D17" s="2004"/>
      <c r="E17" s="2004"/>
      <c r="F17" s="2004"/>
      <c r="G17" s="2004"/>
      <c r="H17" s="2004"/>
      <c r="I17" s="2004"/>
      <c r="J17" s="2004"/>
    </row>
  </sheetData>
  <sheetProtection formatCells="0" formatColumns="0" formatRows="0" insertColumns="0" insertRows="0"/>
  <mergeCells count="6">
    <mergeCell ref="B13:J17"/>
    <mergeCell ref="B2:J2"/>
    <mergeCell ref="C3:D3"/>
    <mergeCell ref="E3:F3"/>
    <mergeCell ref="G3:H3"/>
    <mergeCell ref="I3:J3"/>
  </mergeCells>
  <conditionalFormatting sqref="D10:D12">
    <cfRule type="containsText" dxfId="3" priority="4" operator="containsText" text="x">
      <formula>NOT(ISERROR(SEARCH("x",D10)))</formula>
    </cfRule>
  </conditionalFormatting>
  <conditionalFormatting sqref="F10:F12">
    <cfRule type="containsText" dxfId="2" priority="3" operator="containsText" text="x">
      <formula>NOT(ISERROR(SEARCH("x",F10)))</formula>
    </cfRule>
  </conditionalFormatting>
  <conditionalFormatting sqref="H10:H12">
    <cfRule type="containsText" dxfId="1" priority="2" operator="containsText" text="x">
      <formula>NOT(ISERROR(SEARCH("x",H10)))</formula>
    </cfRule>
  </conditionalFormatting>
  <conditionalFormatting sqref="J10:J12">
    <cfRule type="containsText" dxfId="0" priority="1" operator="containsText" text="x">
      <formula>NOT(ISERROR(SEARCH("x",J10)))</formula>
    </cfRule>
  </conditionalFormatting>
  <pageMargins left="0.7" right="0.7" top="0.75" bottom="0.75" header="0.3" footer="0.3"/>
  <pageSetup orientation="landscape" horizontalDpi="4294967293" verticalDpi="4294967293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AF0-B0DA-4DDF-80A3-7766AB013A7E}">
  <sheetPr>
    <pageSetUpPr fitToPage="1"/>
  </sheetPr>
  <dimension ref="B1:K19"/>
  <sheetViews>
    <sheetView showGridLines="0" zoomScaleNormal="100" workbookViewId="0"/>
  </sheetViews>
  <sheetFormatPr defaultColWidth="13.42578125" defaultRowHeight="12" x14ac:dyDescent="0.25"/>
  <cols>
    <col min="1" max="1" width="1.7109375" style="1226" customWidth="1"/>
    <col min="2" max="2" width="28.42578125" style="1226" bestFit="1" customWidth="1"/>
    <col min="3" max="4" width="10.7109375" style="1226" customWidth="1"/>
    <col min="5" max="5" width="8.7109375" style="1509" customWidth="1"/>
    <col min="6" max="6" width="10.7109375" style="1226" customWidth="1"/>
    <col min="7" max="7" width="8.7109375" style="1510" customWidth="1"/>
    <col min="8" max="8" width="10.7109375" style="1226" customWidth="1"/>
    <col min="9" max="9" width="8.7109375" style="1510" customWidth="1"/>
    <col min="10" max="10" width="10.7109375" style="1226" customWidth="1"/>
    <col min="11" max="11" width="8.7109375" style="1510" customWidth="1"/>
    <col min="12" max="16384" width="13.42578125" style="1226"/>
  </cols>
  <sheetData>
    <row r="1" spans="2:11" ht="9.9499999999999993" customHeight="1" thickBot="1" x14ac:dyDescent="0.3"/>
    <row r="2" spans="2:11" s="1511" customFormat="1" ht="15" customHeight="1" x14ac:dyDescent="0.25">
      <c r="B2" s="1387" t="s">
        <v>205</v>
      </c>
      <c r="C2" s="1482" t="s">
        <v>206</v>
      </c>
      <c r="D2" s="2012" t="s">
        <v>207</v>
      </c>
      <c r="E2" s="2013"/>
      <c r="F2" s="2012" t="s">
        <v>208</v>
      </c>
      <c r="G2" s="2013"/>
      <c r="H2" s="2012" t="s">
        <v>209</v>
      </c>
      <c r="I2" s="2013"/>
      <c r="J2" s="2014" t="s">
        <v>210</v>
      </c>
      <c r="K2" s="2015"/>
    </row>
    <row r="3" spans="2:11" s="1261" customFormat="1" ht="15" customHeight="1" x14ac:dyDescent="0.25">
      <c r="B3" s="1508" t="s">
        <v>211</v>
      </c>
      <c r="C3" s="1503" t="s">
        <v>212</v>
      </c>
      <c r="D3" s="1504" t="s">
        <v>212</v>
      </c>
      <c r="E3" s="1505" t="s">
        <v>213</v>
      </c>
      <c r="F3" s="1504" t="s">
        <v>212</v>
      </c>
      <c r="G3" s="1505" t="str">
        <f>E3</f>
        <v>YOY +/-</v>
      </c>
      <c r="H3" s="1504" t="s">
        <v>212</v>
      </c>
      <c r="I3" s="1505" t="str">
        <f>G3</f>
        <v>YOY +/-</v>
      </c>
      <c r="J3" s="1506" t="s">
        <v>214</v>
      </c>
      <c r="K3" s="1507" t="str">
        <f>I3</f>
        <v>YOY +/-</v>
      </c>
    </row>
    <row r="4" spans="2:11" s="1512" customFormat="1" ht="15" customHeight="1" x14ac:dyDescent="0.25">
      <c r="B4" s="1498" t="s">
        <v>215</v>
      </c>
      <c r="C4" s="1392">
        <v>0</v>
      </c>
      <c r="D4" s="1371">
        <v>0</v>
      </c>
      <c r="E4" s="1393" t="e">
        <f>(D4-C4)/C4</f>
        <v>#DIV/0!</v>
      </c>
      <c r="F4" s="1371">
        <v>0</v>
      </c>
      <c r="G4" s="1393" t="e">
        <f>(F4-D4)/D4</f>
        <v>#DIV/0!</v>
      </c>
      <c r="H4" s="1371">
        <v>0</v>
      </c>
      <c r="I4" s="1393" t="e">
        <f>(H4-F4)/F4</f>
        <v>#DIV/0!</v>
      </c>
      <c r="J4" s="1371">
        <v>0</v>
      </c>
      <c r="K4" s="1489" t="e">
        <f>(J4-H4)/H4</f>
        <v>#DIV/0!</v>
      </c>
    </row>
    <row r="5" spans="2:11" s="1512" customFormat="1" ht="15" customHeight="1" x14ac:dyDescent="0.25">
      <c r="B5" s="1498" t="s">
        <v>216</v>
      </c>
      <c r="C5" s="1375">
        <f>IF(C4&gt;0,+C4/C6,0)</f>
        <v>0</v>
      </c>
      <c r="D5" s="1372">
        <f>IF(D4&gt;0,+D4/D6,0)</f>
        <v>0</v>
      </c>
      <c r="E5" s="1393" t="e">
        <f>(D5-C5)/C5</f>
        <v>#DIV/0!</v>
      </c>
      <c r="F5" s="1372">
        <f>IF(F4&gt;0,+F4/F6,0)</f>
        <v>0</v>
      </c>
      <c r="G5" s="1393" t="e">
        <f>(F5-D5)/D5</f>
        <v>#DIV/0!</v>
      </c>
      <c r="H5" s="1372">
        <f>IF(H4&gt;0,+H4/H6,0)</f>
        <v>0</v>
      </c>
      <c r="I5" s="1393" t="e">
        <f>(H5-F5)/F5</f>
        <v>#DIV/0!</v>
      </c>
      <c r="J5" s="1372">
        <f>IF(J4&gt;0,+J4/J6,0)</f>
        <v>0</v>
      </c>
      <c r="K5" s="1489" t="e">
        <f>(J5-H5)/H5</f>
        <v>#DIV/0!</v>
      </c>
    </row>
    <row r="6" spans="2:11" s="1511" customFormat="1" ht="15" customHeight="1" x14ac:dyDescent="0.25">
      <c r="B6" s="1499" t="s">
        <v>217</v>
      </c>
      <c r="C6" s="1376">
        <v>0</v>
      </c>
      <c r="D6" s="1374">
        <v>0</v>
      </c>
      <c r="E6" s="1485" t="e">
        <f t="shared" ref="E6:E12" si="0">(D6-C6)/C6</f>
        <v>#DIV/0!</v>
      </c>
      <c r="F6" s="1374">
        <v>0</v>
      </c>
      <c r="G6" s="1493" t="e">
        <f>(F6-D6)/D6</f>
        <v>#DIV/0!</v>
      </c>
      <c r="H6" s="1374">
        <v>0</v>
      </c>
      <c r="I6" s="1493" t="e">
        <f>(H6-F6)/F6</f>
        <v>#DIV/0!</v>
      </c>
      <c r="J6" s="1374">
        <v>0</v>
      </c>
      <c r="K6" s="1496" t="e">
        <f>(J6-H6)/H6</f>
        <v>#DIV/0!</v>
      </c>
    </row>
    <row r="7" spans="2:11" ht="15" customHeight="1" x14ac:dyDescent="0.25">
      <c r="B7" s="1500" t="s">
        <v>218</v>
      </c>
      <c r="C7" s="1355">
        <v>0</v>
      </c>
      <c r="D7" s="1373">
        <v>0</v>
      </c>
      <c r="E7" s="1393" t="e">
        <f t="shared" si="0"/>
        <v>#DIV/0!</v>
      </c>
      <c r="F7" s="1373">
        <v>0</v>
      </c>
      <c r="G7" s="1393" t="e">
        <f>(F7-D7)/D7</f>
        <v>#DIV/0!</v>
      </c>
      <c r="H7" s="1373">
        <v>0</v>
      </c>
      <c r="I7" s="1393" t="e">
        <f>(H7-F7)/F7</f>
        <v>#DIV/0!</v>
      </c>
      <c r="J7" s="1373">
        <v>0</v>
      </c>
      <c r="K7" s="1489" t="e">
        <f>(J7-H7)/H7</f>
        <v>#DIV/0!</v>
      </c>
    </row>
    <row r="8" spans="2:11" ht="15" customHeight="1" x14ac:dyDescent="0.25">
      <c r="B8" s="1500" t="s">
        <v>219</v>
      </c>
      <c r="C8" s="1355">
        <v>0</v>
      </c>
      <c r="D8" s="1373">
        <v>0</v>
      </c>
      <c r="E8" s="1393" t="e">
        <f t="shared" si="0"/>
        <v>#DIV/0!</v>
      </c>
      <c r="F8" s="1373">
        <v>0</v>
      </c>
      <c r="G8" s="1393" t="e">
        <f t="shared" ref="G8:K8" si="1">(F8-D8)/D8</f>
        <v>#DIV/0!</v>
      </c>
      <c r="H8" s="1373">
        <v>0</v>
      </c>
      <c r="I8" s="1393" t="e">
        <f t="shared" si="1"/>
        <v>#DIV/0!</v>
      </c>
      <c r="J8" s="1373">
        <v>0</v>
      </c>
      <c r="K8" s="1489" t="e">
        <f t="shared" si="1"/>
        <v>#DIV/0!</v>
      </c>
    </row>
    <row r="9" spans="2:11" ht="15" customHeight="1" x14ac:dyDescent="0.25">
      <c r="B9" s="1500" t="s">
        <v>220</v>
      </c>
      <c r="C9" s="1494" t="e">
        <f>C8/C7</f>
        <v>#DIV/0!</v>
      </c>
      <c r="D9" s="1495" t="e">
        <f>D8/D7</f>
        <v>#DIV/0!</v>
      </c>
      <c r="E9" s="1393" t="e">
        <f>D9-C9</f>
        <v>#DIV/0!</v>
      </c>
      <c r="F9" s="1495" t="e">
        <f>F8/F7</f>
        <v>#DIV/0!</v>
      </c>
      <c r="G9" s="1393" t="e">
        <f>F9-D9</f>
        <v>#DIV/0!</v>
      </c>
      <c r="H9" s="1495" t="e">
        <f>H8/H7</f>
        <v>#DIV/0!</v>
      </c>
      <c r="I9" s="1393" t="e">
        <f>H9-F9</f>
        <v>#DIV/0!</v>
      </c>
      <c r="J9" s="1495" t="e">
        <f>J8/J7</f>
        <v>#DIV/0!</v>
      </c>
      <c r="K9" s="1489" t="e">
        <f>J9-H9</f>
        <v>#DIV/0!</v>
      </c>
    </row>
    <row r="10" spans="2:11" s="1511" customFormat="1" ht="15" customHeight="1" x14ac:dyDescent="0.25">
      <c r="B10" s="1499" t="s">
        <v>221</v>
      </c>
      <c r="C10" s="1491">
        <f>C7-C8</f>
        <v>0</v>
      </c>
      <c r="D10" s="1492">
        <f t="shared" ref="D10" si="2">+D7-D8</f>
        <v>0</v>
      </c>
      <c r="E10" s="1485" t="e">
        <f t="shared" si="0"/>
        <v>#DIV/0!</v>
      </c>
      <c r="F10" s="1492">
        <f t="shared" ref="F10" si="3">+F7-F8</f>
        <v>0</v>
      </c>
      <c r="G10" s="1485" t="e">
        <f>(F10-D10)/D10</f>
        <v>#DIV/0!</v>
      </c>
      <c r="H10" s="1492">
        <f t="shared" ref="H10" si="4">+H7-H8</f>
        <v>0</v>
      </c>
      <c r="I10" s="1485" t="e">
        <f>(H10-F10)/F10</f>
        <v>#DIV/0!</v>
      </c>
      <c r="J10" s="1492">
        <f t="shared" ref="J10" si="5">+J7-J8</f>
        <v>0</v>
      </c>
      <c r="K10" s="1497" t="e">
        <f>(J10-H10)/H10</f>
        <v>#DIV/0!</v>
      </c>
    </row>
    <row r="11" spans="2:11" ht="15" customHeight="1" x14ac:dyDescent="0.25">
      <c r="B11" s="1501" t="s">
        <v>222</v>
      </c>
      <c r="C11" s="1487">
        <f>+C6/12</f>
        <v>0</v>
      </c>
      <c r="D11" s="1488">
        <f>+D6/12</f>
        <v>0</v>
      </c>
      <c r="E11" s="1393" t="e">
        <f t="shared" si="0"/>
        <v>#DIV/0!</v>
      </c>
      <c r="F11" s="1488">
        <f>+F6/12</f>
        <v>0</v>
      </c>
      <c r="G11" s="1393" t="e">
        <f>(F11-D11)/D11</f>
        <v>#DIV/0!</v>
      </c>
      <c r="H11" s="1488">
        <f>+H6/12</f>
        <v>0</v>
      </c>
      <c r="I11" s="1393" t="e">
        <f>(H11-F11)/F11</f>
        <v>#DIV/0!</v>
      </c>
      <c r="J11" s="1488">
        <f>+J6/12</f>
        <v>0</v>
      </c>
      <c r="K11" s="1489" t="e">
        <f>(J11-H11)/H11</f>
        <v>#DIV/0!</v>
      </c>
    </row>
    <row r="12" spans="2:11" ht="15" customHeight="1" x14ac:dyDescent="0.25">
      <c r="B12" s="1501" t="s">
        <v>223</v>
      </c>
      <c r="C12" s="1487">
        <f t="shared" ref="C12" si="6">+C7/12</f>
        <v>0</v>
      </c>
      <c r="D12" s="1488">
        <f>+D7/12</f>
        <v>0</v>
      </c>
      <c r="E12" s="1393" t="e">
        <f t="shared" si="0"/>
        <v>#DIV/0!</v>
      </c>
      <c r="F12" s="1488">
        <f>+F7/12</f>
        <v>0</v>
      </c>
      <c r="G12" s="1393" t="e">
        <f t="shared" ref="G12:K12" si="7">(F12-D12)/D12</f>
        <v>#DIV/0!</v>
      </c>
      <c r="H12" s="1488">
        <f>+H7/12</f>
        <v>0</v>
      </c>
      <c r="I12" s="1393" t="e">
        <f t="shared" si="7"/>
        <v>#DIV/0!</v>
      </c>
      <c r="J12" s="1488">
        <f>+J7/12</f>
        <v>0</v>
      </c>
      <c r="K12" s="1489" t="e">
        <f t="shared" si="7"/>
        <v>#DIV/0!</v>
      </c>
    </row>
    <row r="13" spans="2:11" ht="15" customHeight="1" thickBot="1" x14ac:dyDescent="0.3">
      <c r="B13" s="1502" t="s">
        <v>224</v>
      </c>
      <c r="C13" s="1483">
        <v>0</v>
      </c>
      <c r="D13" s="1484">
        <v>0</v>
      </c>
      <c r="E13" s="1486"/>
      <c r="F13" s="1484">
        <v>0</v>
      </c>
      <c r="G13" s="1486"/>
      <c r="H13" s="1484">
        <v>0</v>
      </c>
      <c r="I13" s="1486"/>
      <c r="J13" s="1484">
        <v>0</v>
      </c>
      <c r="K13" s="1490"/>
    </row>
    <row r="14" spans="2:11" ht="12" customHeight="1" x14ac:dyDescent="0.25"/>
    <row r="15" spans="2:11" ht="12" customHeight="1" x14ac:dyDescent="0.25">
      <c r="D15" s="1225"/>
      <c r="F15" s="1225"/>
      <c r="G15" s="1509"/>
      <c r="H15" s="1225"/>
      <c r="I15" s="1509"/>
      <c r="J15" s="1225"/>
      <c r="K15" s="1509"/>
    </row>
    <row r="16" spans="2:11" x14ac:dyDescent="0.25">
      <c r="D16" s="1225"/>
      <c r="F16" s="1225"/>
      <c r="G16" s="1509"/>
      <c r="H16" s="1225"/>
      <c r="I16" s="1509"/>
      <c r="J16" s="1225"/>
      <c r="K16" s="1509"/>
    </row>
    <row r="17" spans="2:2" x14ac:dyDescent="0.25">
      <c r="B17" s="1226" t="s">
        <v>225</v>
      </c>
    </row>
    <row r="18" spans="2:2" x14ac:dyDescent="0.25">
      <c r="B18" s="1721" t="s">
        <v>226</v>
      </c>
    </row>
    <row r="19" spans="2:2" x14ac:dyDescent="0.25">
      <c r="B19" s="1721" t="s">
        <v>227</v>
      </c>
    </row>
  </sheetData>
  <sheetProtection formatCells="0" formatColumns="0" formatRows="0" insertColumns="0" insertRows="0" insertHyperlinks="0"/>
  <mergeCells count="4">
    <mergeCell ref="D2:E2"/>
    <mergeCell ref="J2:K2"/>
    <mergeCell ref="F2:G2"/>
    <mergeCell ref="H2:I2"/>
  </mergeCells>
  <pageMargins left="0.7" right="0.7" top="0.75" bottom="0.75" header="0.3" footer="0.3"/>
  <pageSetup orientation="landscape" r:id="rId1"/>
  <ignoredErrors>
    <ignoredError sqref="E6:E8 E10:E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123C0C4902E4EAED68C6477E858A4" ma:contentTypeVersion="22" ma:contentTypeDescription="Create a new document." ma:contentTypeScope="" ma:versionID="5453135057bba1f4d9cbb3dce89d88d0">
  <xsd:schema xmlns:xsd="http://www.w3.org/2001/XMLSchema" xmlns:xs="http://www.w3.org/2001/XMLSchema" xmlns:p="http://schemas.microsoft.com/office/2006/metadata/properties" xmlns:ns1="http://schemas.microsoft.com/sharepoint/v3" xmlns:ns2="c8adaf15-6ce0-4280-b696-b34d4fced46a" xmlns:ns3="7964f9a0-c2fe-422d-af5a-b50d517ac817" targetNamespace="http://schemas.microsoft.com/office/2006/metadata/properties" ma:root="true" ma:fieldsID="52fdbc3e4f6642484b385c7707939b2c" ns1:_="" ns2:_="" ns3:_="">
    <xsd:import namespace="http://schemas.microsoft.com/sharepoint/v3"/>
    <xsd:import namespace="c8adaf15-6ce0-4280-b696-b34d4fced46a"/>
    <xsd:import namespace="7964f9a0-c2fe-422d-af5a-b50d517ac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ctiveBorrower" minOccurs="0"/>
                <xsd:element ref="ns1:_ip_UnifiedCompliancePolicyProperties" minOccurs="0"/>
                <xsd:element ref="ns1:_ip_UnifiedCompliancePolicyUIAction" minOccurs="0"/>
                <xsd:element ref="ns2:Fil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daf15-6ce0-4280-b696-b34d4fced4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e73ff9f-0667-4047-9205-333eea068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ctiveBorrower" ma:index="22" nillable="true" ma:displayName="Active" ma:default="1" ma:format="Dropdown" ma:internalName="ActiveBorrower">
      <xsd:simpleType>
        <xsd:restriction base="dms:Boolean"/>
      </xsd:simpleType>
    </xsd:element>
    <xsd:element name="FileCount" ma:index="25" nillable="true" ma:displayName="File Count" ma:format="Dropdown" ma:internalName="FileCou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4f9a0-c2fe-422d-af5a-b50d517ac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a2c45be-bd31-46a0-90f9-a90022179f76}" ma:internalName="TaxCatchAll" ma:showField="CatchAllData" ma:web="7964f9a0-c2fe-422d-af5a-b50d517ac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64f9a0-c2fe-422d-af5a-b50d517ac817" xsi:nil="true"/>
    <ActiveBorrower xmlns="c8adaf15-6ce0-4280-b696-b34d4fced46a">true</ActiveBorrower>
    <lcf76f155ced4ddcb4097134ff3c332f xmlns="c8adaf15-6ce0-4280-b696-b34d4fced46a">
      <Terms xmlns="http://schemas.microsoft.com/office/infopath/2007/PartnerControls"/>
    </lcf76f155ced4ddcb4097134ff3c332f>
    <_ip_UnifiedCompliancePolicyUIAction xmlns="http://schemas.microsoft.com/sharepoint/v3" xsi:nil="true"/>
    <FileCount xmlns="c8adaf15-6ce0-4280-b696-b34d4fced46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790AC2-A89D-45C7-A511-B7A6E4D45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adaf15-6ce0-4280-b696-b34d4fced46a"/>
    <ds:schemaRef ds:uri="7964f9a0-c2fe-422d-af5a-b50d517ac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AA0DDB-3D53-426C-B825-BD99D42512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B1B5A-CA4E-4758-BF8B-070FBDA4E3F4}">
  <ds:schemaRefs>
    <ds:schemaRef ds:uri="http://schemas.microsoft.com/office/2006/documentManagement/types"/>
    <ds:schemaRef ds:uri="http://purl.org/dc/dcmitype/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7964f9a0-c2fe-422d-af5a-b50d517ac817"/>
    <ds:schemaRef ds:uri="c8adaf15-6ce0-4280-b696-b34d4fced46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</vt:i4>
      </vt:variant>
    </vt:vector>
  </HeadingPairs>
  <TitlesOfParts>
    <vt:vector size="32" baseType="lpstr">
      <vt:lpstr>Exposure</vt:lpstr>
      <vt:lpstr>Bank Group</vt:lpstr>
      <vt:lpstr>Covenant Tracking</vt:lpstr>
      <vt:lpstr>Unit Line Detail</vt:lpstr>
      <vt:lpstr>Borrowing Base</vt:lpstr>
      <vt:lpstr>Deposits</vt:lpstr>
      <vt:lpstr>RLOC</vt:lpstr>
      <vt:lpstr>Heat Map</vt:lpstr>
      <vt:lpstr>Revenue-Closings</vt:lpstr>
      <vt:lpstr>Sales-Closings</vt:lpstr>
      <vt:lpstr>Collateral Value</vt:lpstr>
      <vt:lpstr>Balance Sheet</vt:lpstr>
      <vt:lpstr>Inventory-Units</vt:lpstr>
      <vt:lpstr>Inventory-Lots</vt:lpstr>
      <vt:lpstr>Debt Listing</vt:lpstr>
      <vt:lpstr>Equity</vt:lpstr>
      <vt:lpstr>Income Statement</vt:lpstr>
      <vt:lpstr>Net Income</vt:lpstr>
      <vt:lpstr>Absorption Sensitivity</vt:lpstr>
      <vt:lpstr>Sensitivity Analysis</vt:lpstr>
      <vt:lpstr>A&amp;D Sources &amp; Uses</vt:lpstr>
      <vt:lpstr>Curtailment</vt:lpstr>
      <vt:lpstr>Active Subdivision</vt:lpstr>
      <vt:lpstr>Vertical Construction</vt:lpstr>
      <vt:lpstr>Contract Analysis</vt:lpstr>
      <vt:lpstr>Market Snapshot</vt:lpstr>
      <vt:lpstr>Guarantor Aggregation</vt:lpstr>
      <vt:lpstr>Project Inventory</vt:lpstr>
      <vt:lpstr>Dev Budget</vt:lpstr>
      <vt:lpstr>Project Equity</vt:lpstr>
      <vt:lpstr>Template Modifications</vt:lpstr>
      <vt:lpstr>'Income Statement'!Print_Area</vt:lpstr>
    </vt:vector>
  </TitlesOfParts>
  <Manager/>
  <Company>Flagstar Bank, N.A.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Freeman</dc:creator>
  <cp:keywords/>
  <dc:description/>
  <cp:lastModifiedBy>Rohail Abid</cp:lastModifiedBy>
  <cp:revision/>
  <dcterms:created xsi:type="dcterms:W3CDTF">2024-12-17T17:12:39Z</dcterms:created>
  <dcterms:modified xsi:type="dcterms:W3CDTF">2026-09-03T18:00:59Z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0x0101001DE123C0C4902E4EAED68C6477E858A4</vt:lpwstr>
  </property>
  <property fmtid="{D5CDD505-2E9C-101B-9397-08002B2CF9AE}" pid="3" name="MediaServiceImageTags">
    <vt:lpwstr/>
  </property>
  <property fmtid="{D5CDD505-2E9C-101B-9397-08002B2CF9AE}" pid="4" name="MSIP_Label_3762beee-cf70-4f61-9015-5b17ed105c54_Removed">
    <vt:lpwstr>False</vt:lpwstr>
  </property>
  <property fmtid="{D5CDD505-2E9C-101B-9397-08002B2CF9AE}" pid="5" name="MSIP_Label_3762beee-cf70-4f61-9015-5b17ed105c54_ActionId">
    <vt:lpwstr>a5693ee9-7e53-47ed-900a-7248b75055b6</vt:lpwstr>
  </property>
  <property fmtid="{D5CDD505-2E9C-101B-9397-08002B2CF9AE}" pid="6" name="MSIP_Label_3762beee-cf70-4f61-9015-5b17ed105c54_Name">
    <vt:lpwstr>Confidential \ PII Data</vt:lpwstr>
  </property>
  <property fmtid="{D5CDD505-2E9C-101B-9397-08002B2CF9AE}" pid="7" name="MSIP_Label_3762beee-cf70-4f61-9015-5b17ed105c54_SetDate">
    <vt:lpwstr>2026-05-15T22:35:36Z</vt:lpwstr>
  </property>
  <property fmtid="{D5CDD505-2E9C-101B-9397-08002B2CF9AE}" pid="8" name="MSIP_Label_3762beee-cf70-4f61-9015-5b17ed105c54_SiteId">
    <vt:lpwstr>97730094-151b-4438-a840-84762ef0cdae</vt:lpwstr>
  </property>
  <property fmtid="{D5CDD505-2E9C-101B-9397-08002B2CF9AE}" pid="9" name="MSIP_Label_3762beee-cf70-4f61-9015-5b17ed105c54_Enabled">
    <vt:lpwstr>True</vt:lpwstr>
  </property>
  <property fmtid="{D5CDD505-2E9C-101B-9397-08002B2CF9AE}" pid="10" name="MSIP_Label_3762beee-cf70-4f61-9015-5b17ed105c54_Parent">
    <vt:lpwstr>ce39ff10-3117-4c16-86bf-fcfdc8c71269</vt:lpwstr>
  </property>
  <property fmtid="{D5CDD505-2E9C-101B-9397-08002B2CF9AE}" pid="11" name="MSIP_Label_3762beee-cf70-4f61-9015-5b17ed105c54_Extended_MSFT_Method">
    <vt:lpwstr>Standard</vt:lpwstr>
  </property>
  <property fmtid="{D5CDD505-2E9C-101B-9397-08002B2CF9AE}" pid="12" name="MSIP_Label_ce39ff10-3117-4c16-86bf-fcfdc8c71269_Enabled">
    <vt:lpwstr>True</vt:lpwstr>
  </property>
  <property fmtid="{D5CDD505-2E9C-101B-9397-08002B2CF9AE}" pid="13" name="MSIP_Label_ce39ff10-3117-4c16-86bf-fcfdc8c71269_SiteId">
    <vt:lpwstr>97730094-151b-4438-a840-84762ef0cdae</vt:lpwstr>
  </property>
  <property fmtid="{D5CDD505-2E9C-101B-9397-08002B2CF9AE}" pid="14" name="MSIP_Label_ce39ff10-3117-4c16-86bf-fcfdc8c71269_SetDate">
    <vt:lpwstr>2026-05-15T22:35:36Z</vt:lpwstr>
  </property>
  <property fmtid="{D5CDD505-2E9C-101B-9397-08002B2CF9AE}" pid="15" name="MSIP_Label_ce39ff10-3117-4c16-86bf-fcfdc8c71269_Name">
    <vt:lpwstr>Confidential</vt:lpwstr>
  </property>
  <property fmtid="{D5CDD505-2E9C-101B-9397-08002B2CF9AE}" pid="16" name="MSIP_Label_ce39ff10-3117-4c16-86bf-fcfdc8c71269_ActionId">
    <vt:lpwstr>1f4f7d15-0322-426e-a181-057f1ba0f748</vt:lpwstr>
  </property>
  <property fmtid="{D5CDD505-2E9C-101B-9397-08002B2CF9AE}" pid="17" name="MSIP_Label_ce39ff10-3117-4c16-86bf-fcfdc8c71269_Extended_MSFT_Method">
    <vt:lpwstr>Standard</vt:lpwstr>
  </property>
  <property fmtid="{D5CDD505-2E9C-101B-9397-08002B2CF9AE}" pid="18" name="Sensitivity">
    <vt:lpwstr>Confidential \ PII Data Confidential</vt:lpwstr>
  </property>
</Properties>
</file>